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externalLinks/externalLink9.xml" ContentType="application/vnd.openxmlformats-officedocument.spreadsheetml.externalLink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Default Extension="xml" ContentType="application/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drawings/drawing24.xml" ContentType="application/vnd.openxmlformats-officedocument.drawing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30.xml" ContentType="application/vnd.openxmlformats-officedocument.drawingml.chart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drawings/drawing14.xml" ContentType="application/vnd.openxmlformats-officedocument.drawing+xml"/>
  <Override PartName="/xl/charts/chart28.xml" ContentType="application/vnd.openxmlformats-officedocument.drawingml.chart+xml"/>
  <Override PartName="/xl/drawings/drawing32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externalLinks/externalLink11.xml" ContentType="application/vnd.openxmlformats-officedocument.spreadsheetml.externalLink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harts/chart26.xml" ContentType="application/vnd.openxmlformats-officedocument.drawingml.chart+xml"/>
  <Override PartName="/xl/drawings/drawing30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wmf" ContentType="image/x-wmf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drawings/drawing26.xml" ContentType="application/vnd.openxmlformats-officedocument.drawing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charts/chart36.xml" ContentType="application/vnd.openxmlformats-officedocument.drawingml.chart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0.xml" ContentType="application/vnd.openxmlformats-officedocument.spreadsheetml.externalLink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74.xml" ContentType="application/vnd.openxmlformats-officedocument.spreadsheetml.worksheet+xml"/>
  <Override PartName="/xl/charts/chart21.xml" ContentType="application/vnd.openxmlformats-officedocument.drawingml.chart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8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27.xml" ContentType="application/vnd.openxmlformats-officedocument.drawing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drawings/drawing16.xml" ContentType="application/vnd.openxmlformats-officedocument.drawing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drawings/drawing23.xml" ContentType="application/vnd.openxmlformats-officedocument.drawing+xml"/>
  <Override PartName="/xl/charts/chart37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115" windowWidth="12120" windowHeight="5175"/>
  </bookViews>
  <sheets>
    <sheet name="GUIDE" sheetId="1" r:id="rId1"/>
    <sheet name="INTRINSIC CALL" sheetId="15" r:id="rId2"/>
    <sheet name="CALL OPTION" sheetId="14" r:id="rId3"/>
    <sheet name="BINOMIAL_CALL" sheetId="76" r:id="rId4"/>
    <sheet name="BINOMIAL_PUT" sheetId="75" r:id="rId5"/>
    <sheet name="BINOMIAL_CALL_PUT" sheetId="11" r:id="rId6"/>
    <sheet name="CALL_TIME" sheetId="10" r:id="rId7"/>
    <sheet name="CALL_VOLATILITY" sheetId="9" r:id="rId8"/>
    <sheet name="BLACK_SCHOLES" sheetId="8" r:id="rId9"/>
    <sheet name="DEFERRAL" sheetId="28" r:id="rId10"/>
    <sheet name="GROWTH" sheetId="27" r:id="rId11"/>
    <sheet name="EXCHANGE" sheetId="26" r:id="rId12"/>
    <sheet name="HEDGING1" sheetId="25" r:id="rId13"/>
    <sheet name="STRATEGY1" sheetId="24" r:id="rId14"/>
    <sheet name="STRATEGY2" sheetId="23" r:id="rId15"/>
    <sheet name="STRATEGY3" sheetId="22" r:id="rId16"/>
    <sheet name="STRATEGY4" sheetId="21" r:id="rId17"/>
    <sheet name="STRATEGY5" sheetId="20" r:id="rId18"/>
    <sheet name="RENOVATION" sheetId="81" r:id="rId19"/>
    <sheet name="RENOVATION_REQD" sheetId="80" r:id="rId20"/>
    <sheet name="SHARING" sheetId="78" r:id="rId21"/>
    <sheet name="SAMUELSON1" sheetId="18" r:id="rId22"/>
    <sheet name="SAMUELSON2" sheetId="17" r:id="rId23"/>
    <sheet name="VOLATILITY" sheetId="16" r:id="rId24"/>
    <sheet name="DELTA,GAMMA" sheetId="33" r:id="rId25"/>
    <sheet name="AMER_PERP" sheetId="32" r:id="rId26"/>
    <sheet name="HEDGING" sheetId="31" r:id="rId27"/>
    <sheet name="TOURINHO I" sheetId="117" r:id="rId28"/>
    <sheet name="TOURINHO THRESHOLD" sheetId="115" r:id="rId29"/>
    <sheet name="TOURINHO II" sheetId="114" r:id="rId30"/>
    <sheet name="AM_PERP_MF" sheetId="30" r:id="rId31"/>
    <sheet name="AM_PERP_MF_Q" sheetId="38" r:id="rId32"/>
    <sheet name="AM_PERP_MF_CORR" sheetId="29" r:id="rId33"/>
    <sheet name="AM_PERP_EXCH" sheetId="37" r:id="rId34"/>
    <sheet name="AM_PERP_EXCH_CORR" sheetId="36" r:id="rId35"/>
    <sheet name="BJERKSUND &amp; EKERN" sheetId="2" r:id="rId36"/>
    <sheet name="VALUE_OILFIELD" sheetId="3" r:id="rId37"/>
    <sheet name="EURO_COM_CALL" sheetId="106" r:id="rId38"/>
    <sheet name="EURO_COM_EXCH" sheetId="105" r:id="rId39"/>
    <sheet name="TWO STAGE SOLVER" sheetId="123" r:id="rId40"/>
    <sheet name="TWO STAGE MATRIX" sheetId="122" r:id="rId41"/>
    <sheet name="3 STAGE SEQ" sheetId="103" r:id="rId42"/>
    <sheet name="MARSHALL_INVEST" sheetId="42" r:id="rId43"/>
    <sheet name="MARSHALL_SENSE" sheetId="41" r:id="rId44"/>
    <sheet name="ENTRY-EXIT v NPV" sheetId="77" r:id="rId45"/>
    <sheet name="STOC_INVEST" sheetId="40" r:id="rId46"/>
    <sheet name="STOC_ENTRY_EXIT" sheetId="52" r:id="rId47"/>
    <sheet name="ENTRY_EXIT_VOL" sheetId="56" r:id="rId48"/>
    <sheet name="MULTIPLE_SCALE" sheetId="51" r:id="rId49"/>
    <sheet name="DUO_PROFITS1" sheetId="50" r:id="rId50"/>
    <sheet name="DUO_PROFITS2_K" sheetId="49" r:id="rId51"/>
    <sheet name="DUO_PROFITS2_VOL" sheetId="66" r:id="rId52"/>
    <sheet name="P_Q RIVALRY" sheetId="65" r:id="rId53"/>
    <sheet name="P_Q RIVALRY_Q" sheetId="55" r:id="rId54"/>
    <sheet name="R_K RIVALRY" sheetId="54" r:id="rId55"/>
    <sheet name="ODE PROOF" sheetId="108" r:id="rId56"/>
    <sheet name="V DELTA" sheetId="107" r:id="rId57"/>
    <sheet name="BASE CASE DEBT" sheetId="110" r:id="rId58"/>
    <sheet name="STRATEGY a" sheetId="109" r:id="rId59"/>
    <sheet name="FairStrategy" sheetId="111" r:id="rId60"/>
    <sheet name="SIMPLE STRATEGY" sheetId="112" r:id="rId61"/>
    <sheet name="RENEWAL DETERMINISTIC" sheetId="82" r:id="rId62"/>
    <sheet name="P&amp;C STOCHASTIC" sheetId="83" r:id="rId63"/>
    <sheet name="P STOCHASTIC" sheetId="84" r:id="rId64"/>
    <sheet name="C STOCHASTIC" sheetId="100" r:id="rId65"/>
    <sheet name="SINGLE RENEWAL" sheetId="87" r:id="rId66"/>
    <sheet name="ABANDON" sheetId="88" r:id="rId67"/>
    <sheet name="TECH PROGRESS" sheetId="89" r:id="rId68"/>
    <sheet name="OUTPUT" sheetId="92" r:id="rId69"/>
    <sheet name="OUT VOLATILITY" sheetId="93" r:id="rId70"/>
    <sheet name="OUT SINGLE" sheetId="94" r:id="rId71"/>
    <sheet name="IN OUT" sheetId="95" r:id="rId72"/>
    <sheet name="IN OUT VOLATILITY" sheetId="96" r:id="rId73"/>
    <sheet name="IN OUT SINGLE" sheetId="97" r:id="rId74"/>
    <sheet name="IN IN MULTIPLE" sheetId="120" r:id="rId75"/>
    <sheet name="IN IN VOLATILITY" sheetId="119" r:id="rId76"/>
    <sheet name="IN IN SINGLE" sheetId="118" r:id="rId77"/>
    <sheet name="COMPARISONS" sheetId="121" r:id="rId78"/>
  </sheets>
  <externalReferences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</externalReferences>
  <definedNames>
    <definedName name="__123Graph_A" hidden="1">[1]BARRIER!$B$10:$H$10</definedName>
    <definedName name="__123Graph_ADELTA" hidden="1">[1]BARRIER!$B$18:$H$18</definedName>
    <definedName name="__123Graph_AEXERCISE" hidden="1">[1]BARRIER!$B$10:$H$10</definedName>
    <definedName name="__123Graph_ARATE" hidden="1">[1]BARRIER!$B$10:$H$10</definedName>
    <definedName name="__123Graph_ASTOCK" hidden="1">[1]BARRIER!$B$10:$H$10</definedName>
    <definedName name="__123Graph_ATIME" hidden="1">[1]BARRIER!$B$10:$H$10</definedName>
    <definedName name="__123Graph_AVOLATILITY" hidden="1">[1]BARRIER!$B$10:$H$10</definedName>
    <definedName name="__123Graph_B" hidden="1">[1]BARRIER!$B$13:$H$13</definedName>
    <definedName name="__123Graph_C" hidden="1">[1]BARRIER!$B$14:$H$14</definedName>
    <definedName name="__123Graph_X" hidden="1">[1]BARRIER!$B$5:$H$5</definedName>
    <definedName name="__123Graph_XDELTA" hidden="1">[1]BARRIER!$B$5:$H$5</definedName>
    <definedName name="__123Graph_XEXERCISE" hidden="1">[1]BARRIER!$B$6:$H$6</definedName>
    <definedName name="__123Graph_XRATE" hidden="1">[1]BARRIER!$B$8:$H$8</definedName>
    <definedName name="__123Graph_XSTOCK" hidden="1">[1]BARRIER!$B$5:$H$5</definedName>
    <definedName name="__123Graph_XTIME" hidden="1">[1]BARRIER!$B$7:$H$7</definedName>
    <definedName name="__123Graph_XVOLATILITY" hidden="1">[1]BARRIER!$B$9:$H$9</definedName>
    <definedName name="Correlation">#REF!</definedName>
    <definedName name="COST">#REF!</definedName>
    <definedName name="COST1">[2]GROWTH!$B$6</definedName>
    <definedName name="COST2">[2]GROWTH!$B$13</definedName>
    <definedName name="ETA">#REF!</definedName>
    <definedName name="HURDLE">#REF!</definedName>
    <definedName name="N_d1">[2]GROWTH!$B$22</definedName>
    <definedName name="N_d2">[2]GROWTH!$B$23</definedName>
    <definedName name="RATE">[2]GROWTH!$B$15</definedName>
    <definedName name="RISKFREE">#REF!</definedName>
    <definedName name="solver_adj" localSheetId="66" hidden="1">ABANDON!$B$20:$B$22</definedName>
    <definedName name="solver_adj" localSheetId="35" hidden="1">'BJERKSUND &amp; EKERN'!$B$40:$B$42</definedName>
    <definedName name="solver_adj" localSheetId="44" hidden="1">'ENTRY-EXIT v NPV'!$B$17:$B$20</definedName>
    <definedName name="solver_adj" localSheetId="52" hidden="1">'P_Q RIVALRY'!$B$26</definedName>
    <definedName name="solver_adj" localSheetId="54" hidden="1">'R_K RIVALRY'!$B$28</definedName>
    <definedName name="solver_adj" localSheetId="65" hidden="1">'SINGLE RENEWAL'!$B$20:$B$22</definedName>
    <definedName name="solver_adj" localSheetId="29" hidden="1">'TOURINHO II'!$B$20:$B$21</definedName>
    <definedName name="solver_cvg" localSheetId="66" hidden="1">0.0001</definedName>
    <definedName name="solver_cvg" localSheetId="35" hidden="1">0.0001</definedName>
    <definedName name="solver_cvg" localSheetId="44" hidden="1">0.0001</definedName>
    <definedName name="solver_cvg" localSheetId="52" hidden="1">0.0001</definedName>
    <definedName name="solver_cvg" localSheetId="54" hidden="1">0.0001</definedName>
    <definedName name="solver_cvg" localSheetId="65" hidden="1">0.0001</definedName>
    <definedName name="solver_cvg" localSheetId="29" hidden="1">0.0001</definedName>
    <definedName name="solver_drv" localSheetId="66" hidden="1">1</definedName>
    <definedName name="solver_drv" localSheetId="35" hidden="1">1</definedName>
    <definedName name="solver_drv" localSheetId="44" hidden="1">1</definedName>
    <definedName name="solver_drv" localSheetId="52" hidden="1">1</definedName>
    <definedName name="solver_drv" localSheetId="54" hidden="1">1</definedName>
    <definedName name="solver_drv" localSheetId="65" hidden="1">1</definedName>
    <definedName name="solver_drv" localSheetId="29" hidden="1">1</definedName>
    <definedName name="solver_est" localSheetId="66" hidden="1">1</definedName>
    <definedName name="solver_est" localSheetId="35" hidden="1">1</definedName>
    <definedName name="solver_est" localSheetId="44" hidden="1">1</definedName>
    <definedName name="solver_est" localSheetId="52" hidden="1">1</definedName>
    <definedName name="solver_est" localSheetId="54" hidden="1">1</definedName>
    <definedName name="solver_est" localSheetId="65" hidden="1">1</definedName>
    <definedName name="solver_est" localSheetId="29" hidden="1">1</definedName>
    <definedName name="solver_itr" localSheetId="66" hidden="1">100</definedName>
    <definedName name="solver_itr" localSheetId="35" hidden="1">100</definedName>
    <definedName name="solver_itr" localSheetId="44" hidden="1">1000</definedName>
    <definedName name="solver_itr" localSheetId="52" hidden="1">100</definedName>
    <definedName name="solver_itr" localSheetId="54" hidden="1">100</definedName>
    <definedName name="solver_itr" localSheetId="65" hidden="1">100</definedName>
    <definedName name="solver_itr" localSheetId="29" hidden="1">100</definedName>
    <definedName name="solver_lhs1" localSheetId="66" hidden="1">ABANDON!$B$15</definedName>
    <definedName name="solver_lhs1" localSheetId="44" hidden="1">'ENTRY-EXIT v NPV'!$B$23</definedName>
    <definedName name="solver_lhs1" localSheetId="65" hidden="1">'SINGLE RENEWAL'!$B$15</definedName>
    <definedName name="solver_lhs1" localSheetId="29" hidden="1">'TOURINHO II'!$B$26</definedName>
    <definedName name="solver_lhs2" localSheetId="66" hidden="1">ABANDON!$B$16:$B$17</definedName>
    <definedName name="solver_lhs2" localSheetId="44" hidden="1">'ENTRY-EXIT v NPV'!$B$25</definedName>
    <definedName name="solver_lhs2" localSheetId="65" hidden="1">'SINGLE RENEWAL'!$B$16:$B$17</definedName>
    <definedName name="solver_lhs2" localSheetId="29" hidden="1">'TOURINHO II'!$B$27</definedName>
    <definedName name="solver_lhs3" localSheetId="44" hidden="1">'ENTRY-EXIT v NPV'!$B$24</definedName>
    <definedName name="solver_lhs4" localSheetId="44" hidden="1">'ENTRY-EXIT v NPV'!$B$17:$B$20</definedName>
    <definedName name="solver_lhs5" localSheetId="44" hidden="1">'ENTRY-EXIT v NPV'!$B$22</definedName>
    <definedName name="solver_lin" localSheetId="66" hidden="1">2</definedName>
    <definedName name="solver_lin" localSheetId="35" hidden="1">2</definedName>
    <definedName name="solver_lin" localSheetId="44" hidden="1">2</definedName>
    <definedName name="solver_lin" localSheetId="52" hidden="1">2</definedName>
    <definedName name="solver_lin" localSheetId="54" hidden="1">2</definedName>
    <definedName name="solver_lin" localSheetId="65" hidden="1">2</definedName>
    <definedName name="solver_lin" localSheetId="29" hidden="1">2</definedName>
    <definedName name="solver_neg" localSheetId="66" hidden="1">2</definedName>
    <definedName name="solver_neg" localSheetId="35" hidden="1">2</definedName>
    <definedName name="solver_neg" localSheetId="44" hidden="1">2</definedName>
    <definedName name="solver_neg" localSheetId="52" hidden="1">2</definedName>
    <definedName name="solver_neg" localSheetId="54" hidden="1">2</definedName>
    <definedName name="solver_neg" localSheetId="65" hidden="1">2</definedName>
    <definedName name="solver_neg" localSheetId="29" hidden="1">2</definedName>
    <definedName name="solver_num" localSheetId="66" hidden="1">2</definedName>
    <definedName name="solver_num" localSheetId="35" hidden="1">0</definedName>
    <definedName name="solver_num" localSheetId="44" hidden="1">5</definedName>
    <definedName name="solver_num" localSheetId="52" hidden="1">0</definedName>
    <definedName name="solver_num" localSheetId="54" hidden="1">0</definedName>
    <definedName name="solver_num" localSheetId="65" hidden="1">2</definedName>
    <definedName name="solver_num" localSheetId="29" hidden="1">2</definedName>
    <definedName name="solver_nwt" localSheetId="66" hidden="1">1</definedName>
    <definedName name="solver_nwt" localSheetId="35" hidden="1">1</definedName>
    <definedName name="solver_nwt" localSheetId="44" hidden="1">1</definedName>
    <definedName name="solver_nwt" localSheetId="52" hidden="1">1</definedName>
    <definedName name="solver_nwt" localSheetId="54" hidden="1">1</definedName>
    <definedName name="solver_nwt" localSheetId="65" hidden="1">1</definedName>
    <definedName name="solver_nwt" localSheetId="29" hidden="1">1</definedName>
    <definedName name="solver_opt" localSheetId="66" hidden="1">ABANDON!$B$18</definedName>
    <definedName name="solver_opt" localSheetId="35" hidden="1">'BJERKSUND &amp; EKERN'!$B$49</definedName>
    <definedName name="solver_opt" localSheetId="44" hidden="1">'ENTRY-EXIT v NPV'!$B$27</definedName>
    <definedName name="solver_opt" localSheetId="52" hidden="1">'P_Q RIVALRY'!$B$27</definedName>
    <definedName name="solver_opt" localSheetId="54" hidden="1">'R_K RIVALRY'!$B$29</definedName>
    <definedName name="solver_opt" localSheetId="65" hidden="1">'SINGLE RENEWAL'!$B$18</definedName>
    <definedName name="solver_opt" localSheetId="29" hidden="1">'TOURINHO II'!$B$28</definedName>
    <definedName name="solver_pre" localSheetId="66" hidden="1">0.000001</definedName>
    <definedName name="solver_pre" localSheetId="35" hidden="1">0.000001</definedName>
    <definedName name="solver_pre" localSheetId="44" hidden="1">0.00001</definedName>
    <definedName name="solver_pre" localSheetId="52" hidden="1">0.000001</definedName>
    <definedName name="solver_pre" localSheetId="54" hidden="1">0.000001</definedName>
    <definedName name="solver_pre" localSheetId="65" hidden="1">0.000001</definedName>
    <definedName name="solver_pre" localSheetId="29" hidden="1">0.000001</definedName>
    <definedName name="solver_rel1" localSheetId="66" hidden="1">2</definedName>
    <definedName name="solver_rel1" localSheetId="44" hidden="1">2</definedName>
    <definedName name="solver_rel1" localSheetId="65" hidden="1">2</definedName>
    <definedName name="solver_rel1" localSheetId="29" hidden="1">2</definedName>
    <definedName name="solver_rel2" localSheetId="66" hidden="1">2</definedName>
    <definedName name="solver_rel2" localSheetId="44" hidden="1">2</definedName>
    <definedName name="solver_rel2" localSheetId="65" hidden="1">2</definedName>
    <definedName name="solver_rel2" localSheetId="29" hidden="1">2</definedName>
    <definedName name="solver_rel3" localSheetId="44" hidden="1">2</definedName>
    <definedName name="solver_rel4" localSheetId="44" hidden="1">3</definedName>
    <definedName name="solver_rel5" localSheetId="44" hidden="1">2</definedName>
    <definedName name="solver_rhs1" localSheetId="66" hidden="1">0</definedName>
    <definedName name="solver_rhs1" localSheetId="44" hidden="1">'ENTRY-EXIT v NPV'!$B$22</definedName>
    <definedName name="solver_rhs1" localSheetId="65" hidden="1">0</definedName>
    <definedName name="solver_rhs1" localSheetId="29" hidden="1">0</definedName>
    <definedName name="solver_rhs2" localSheetId="66" hidden="1">ABANDON!$B$15</definedName>
    <definedName name="solver_rhs2" localSheetId="44" hidden="1">'ENTRY-EXIT v NPV'!$B$22</definedName>
    <definedName name="solver_rhs2" localSheetId="65" hidden="1">'SINGLE RENEWAL'!$B$15</definedName>
    <definedName name="solver_rhs2" localSheetId="29" hidden="1">'TOURINHO II'!$B$26</definedName>
    <definedName name="solver_rhs3" localSheetId="44" hidden="1">'ENTRY-EXIT v NPV'!$B$22</definedName>
    <definedName name="solver_rhs4" localSheetId="44" hidden="1">0</definedName>
    <definedName name="solver_rhs5" localSheetId="44" hidden="1">0</definedName>
    <definedName name="solver_scl" localSheetId="66" hidden="1">2</definedName>
    <definedName name="solver_scl" localSheetId="35" hidden="1">2</definedName>
    <definedName name="solver_scl" localSheetId="44" hidden="1">2</definedName>
    <definedName name="solver_scl" localSheetId="52" hidden="1">2</definedName>
    <definedName name="solver_scl" localSheetId="54" hidden="1">2</definedName>
    <definedName name="solver_scl" localSheetId="65" hidden="1">2</definedName>
    <definedName name="solver_scl" localSheetId="29" hidden="1">2</definedName>
    <definedName name="solver_sho" localSheetId="66" hidden="1">2</definedName>
    <definedName name="solver_sho" localSheetId="35" hidden="1">2</definedName>
    <definedName name="solver_sho" localSheetId="44" hidden="1">2</definedName>
    <definedName name="solver_sho" localSheetId="52" hidden="1">2</definedName>
    <definedName name="solver_sho" localSheetId="54" hidden="1">2</definedName>
    <definedName name="solver_sho" localSheetId="65" hidden="1">2</definedName>
    <definedName name="solver_sho" localSheetId="29" hidden="1">2</definedName>
    <definedName name="solver_tim" localSheetId="66" hidden="1">100</definedName>
    <definedName name="solver_tim" localSheetId="35" hidden="1">100</definedName>
    <definedName name="solver_tim" localSheetId="44" hidden="1">100</definedName>
    <definedName name="solver_tim" localSheetId="52" hidden="1">100</definedName>
    <definedName name="solver_tim" localSheetId="54" hidden="1">100</definedName>
    <definedName name="solver_tim" localSheetId="65" hidden="1">100</definedName>
    <definedName name="solver_tim" localSheetId="29" hidden="1">100</definedName>
    <definedName name="solver_tol" localSheetId="66" hidden="1">0.05</definedName>
    <definedName name="solver_tol" localSheetId="35" hidden="1">0.05</definedName>
    <definedName name="solver_tol" localSheetId="44" hidden="1">0.05</definedName>
    <definedName name="solver_tol" localSheetId="52" hidden="1">0.05</definedName>
    <definedName name="solver_tol" localSheetId="54" hidden="1">0.05</definedName>
    <definedName name="solver_tol" localSheetId="65" hidden="1">0.05</definedName>
    <definedName name="solver_tol" localSheetId="29" hidden="1">0.05</definedName>
    <definedName name="solver_typ" localSheetId="66" hidden="1">3</definedName>
    <definedName name="solver_typ" localSheetId="35" hidden="1">3</definedName>
    <definedName name="solver_typ" localSheetId="44" hidden="1">2</definedName>
    <definedName name="solver_typ" localSheetId="52" hidden="1">3</definedName>
    <definedName name="solver_typ" localSheetId="54" hidden="1">3</definedName>
    <definedName name="solver_typ" localSheetId="65" hidden="1">3</definedName>
    <definedName name="solver_typ" localSheetId="29" hidden="1">3</definedName>
    <definedName name="solver_val" localSheetId="66" hidden="1">0</definedName>
    <definedName name="solver_val" localSheetId="35" hidden="1">0</definedName>
    <definedName name="solver_val" localSheetId="44" hidden="1">0</definedName>
    <definedName name="solver_val" localSheetId="52" hidden="1">0</definedName>
    <definedName name="solver_val" localSheetId="54" hidden="1">0</definedName>
    <definedName name="solver_val" localSheetId="65" hidden="1">0</definedName>
    <definedName name="solver_val" localSheetId="29" hidden="1">0</definedName>
    <definedName name="TIME">[2]GROWTH!$B$14</definedName>
    <definedName name="VALUE">#REF!</definedName>
    <definedName name="VOL">#REF!</definedName>
    <definedName name="YIELD_RATE">#REF!</definedName>
  </definedNames>
  <calcPr calcId="125725"/>
  <customWorkbookViews>
    <customWorkbookView name="Dean A. Paxson - Personal View" guid="{5EBE86A6-E484-4409-9173-9C7E8878B5E9}" mergeInterval="0" personalView="1" maximized="1" windowWidth="1020" windowHeight="604" activeSheetId="1"/>
  </customWorkbookViews>
</workbook>
</file>

<file path=xl/calcChain.xml><?xml version="1.0" encoding="utf-8"?>
<calcChain xmlns="http://schemas.openxmlformats.org/spreadsheetml/2006/main">
  <c r="B35" i="123"/>
  <c r="B34"/>
  <c r="C34" s="1"/>
  <c r="G5" s="1"/>
  <c r="B31"/>
  <c r="B22"/>
  <c r="B21"/>
  <c r="B20"/>
  <c r="B18"/>
  <c r="B33" s="1"/>
  <c r="F4" s="1"/>
  <c r="C17"/>
  <c r="C16"/>
  <c r="C15"/>
  <c r="C14"/>
  <c r="C13"/>
  <c r="C12"/>
  <c r="C11"/>
  <c r="C10"/>
  <c r="J9"/>
  <c r="I9"/>
  <c r="H9"/>
  <c r="G9"/>
  <c r="C9"/>
  <c r="I8"/>
  <c r="H8"/>
  <c r="G8"/>
  <c r="F8"/>
  <c r="B8"/>
  <c r="C8" s="1"/>
  <c r="C7"/>
  <c r="C6"/>
  <c r="C18" s="1"/>
  <c r="I5"/>
  <c r="J5" s="1"/>
  <c r="C5"/>
  <c r="C32" s="1"/>
  <c r="I4"/>
  <c r="J4" s="1"/>
  <c r="G4"/>
  <c r="C4"/>
  <c r="C31" s="1"/>
  <c r="C3"/>
  <c r="C35" s="1"/>
  <c r="F9" s="1"/>
  <c r="B58" i="122"/>
  <c r="B57"/>
  <c r="B36"/>
  <c r="B35"/>
  <c r="B30" a="1"/>
  <c r="B30" s="1"/>
  <c r="L12"/>
  <c r="K12"/>
  <c r="L11"/>
  <c r="K11"/>
  <c r="L10"/>
  <c r="K10"/>
  <c r="L9"/>
  <c r="K9"/>
  <c r="L8"/>
  <c r="E8" s="1"/>
  <c r="K8"/>
  <c r="L7"/>
  <c r="B7" s="1"/>
  <c r="K7"/>
  <c r="F7"/>
  <c r="E7"/>
  <c r="G6" s="1"/>
  <c r="L6"/>
  <c r="B4" s="1"/>
  <c r="B20" s="1"/>
  <c r="K6"/>
  <c r="F6"/>
  <c r="L5"/>
  <c r="K5"/>
  <c r="L4"/>
  <c r="K4"/>
  <c r="L3"/>
  <c r="K3"/>
  <c r="L2"/>
  <c r="K2"/>
  <c r="B2"/>
  <c r="B14" i="121"/>
  <c r="C4"/>
  <c r="C5"/>
  <c r="C6"/>
  <c r="C10"/>
  <c r="C12"/>
  <c r="D4"/>
  <c r="D14" s="1"/>
  <c r="D5"/>
  <c r="D6"/>
  <c r="D10"/>
  <c r="D11"/>
  <c r="D12"/>
  <c r="C37" i="118"/>
  <c r="A36"/>
  <c r="A35"/>
  <c r="A34"/>
  <c r="A33"/>
  <c r="C30"/>
  <c r="C28"/>
  <c r="C21"/>
  <c r="C20"/>
  <c r="D20" s="1"/>
  <c r="C17"/>
  <c r="C29" s="1"/>
  <c r="C16"/>
  <c r="C15"/>
  <c r="H43" i="119"/>
  <c r="G43"/>
  <c r="F43"/>
  <c r="E43"/>
  <c r="D43"/>
  <c r="C43"/>
  <c r="C40"/>
  <c r="C39"/>
  <c r="H23"/>
  <c r="G23"/>
  <c r="F23"/>
  <c r="E23"/>
  <c r="D23"/>
  <c r="C23"/>
  <c r="H22"/>
  <c r="G22"/>
  <c r="F22"/>
  <c r="E22"/>
  <c r="D22"/>
  <c r="C22"/>
  <c r="H20"/>
  <c r="H38" s="1"/>
  <c r="G20"/>
  <c r="G38" s="1"/>
  <c r="F20"/>
  <c r="F38" s="1"/>
  <c r="E20"/>
  <c r="E38" s="1"/>
  <c r="D20"/>
  <c r="D38" s="1"/>
  <c r="C20"/>
  <c r="C38" s="1"/>
  <c r="H19"/>
  <c r="H36" s="1"/>
  <c r="G19"/>
  <c r="G36" s="1"/>
  <c r="F19"/>
  <c r="F36" s="1"/>
  <c r="E19"/>
  <c r="E36" s="1"/>
  <c r="D19"/>
  <c r="D36" s="1"/>
  <c r="C19"/>
  <c r="C36" s="1"/>
  <c r="H18"/>
  <c r="G18"/>
  <c r="F18"/>
  <c r="E18"/>
  <c r="D18"/>
  <c r="C18"/>
  <c r="H17"/>
  <c r="G17"/>
  <c r="F17"/>
  <c r="E17"/>
  <c r="D17"/>
  <c r="C17"/>
  <c r="E7"/>
  <c r="F7" s="1"/>
  <c r="D7"/>
  <c r="D40" s="1"/>
  <c r="C51" i="120"/>
  <c r="C40"/>
  <c r="C39"/>
  <c r="C38"/>
  <c r="C37"/>
  <c r="C34"/>
  <c r="C23"/>
  <c r="C22"/>
  <c r="D22" s="1"/>
  <c r="C19"/>
  <c r="C35" s="1"/>
  <c r="C18"/>
  <c r="D23" s="1"/>
  <c r="C17"/>
  <c r="B9" i="121"/>
  <c r="C3"/>
  <c r="J14" i="16"/>
  <c r="I14"/>
  <c r="H14"/>
  <c r="G14"/>
  <c r="F14"/>
  <c r="E14"/>
  <c r="D14"/>
  <c r="C14"/>
  <c r="B14"/>
  <c r="B28" i="114"/>
  <c r="D7" i="115"/>
  <c r="E7" s="1"/>
  <c r="F7" s="1"/>
  <c r="G7" s="1"/>
  <c r="H7" s="1"/>
  <c r="I7" s="1"/>
  <c r="J7" s="1"/>
  <c r="K7" s="1"/>
  <c r="L7" s="1"/>
  <c r="M7" s="1"/>
  <c r="C7"/>
  <c r="D5"/>
  <c r="E5" s="1"/>
  <c r="F5" s="1"/>
  <c r="G5" s="1"/>
  <c r="H5" s="1"/>
  <c r="I5" s="1"/>
  <c r="J5" s="1"/>
  <c r="K5" s="1"/>
  <c r="L5" s="1"/>
  <c r="M5" s="1"/>
  <c r="C5"/>
  <c r="B27" i="114"/>
  <c r="B26"/>
  <c r="B25"/>
  <c r="B24"/>
  <c r="B23"/>
  <c r="B22"/>
  <c r="B19"/>
  <c r="A47" i="17"/>
  <c r="B5"/>
  <c r="B6"/>
  <c r="B7"/>
  <c r="B8"/>
  <c r="B9"/>
  <c r="C3" i="115"/>
  <c r="D3" s="1"/>
  <c r="E3" s="1"/>
  <c r="F3" s="1"/>
  <c r="G3" s="1"/>
  <c r="H3" s="1"/>
  <c r="I3" s="1"/>
  <c r="J3" s="1"/>
  <c r="K3" s="1"/>
  <c r="L3" s="1"/>
  <c r="M3" s="1"/>
  <c r="A25"/>
  <c r="B8"/>
  <c r="B16" s="1"/>
  <c r="B7"/>
  <c r="B6"/>
  <c r="B4"/>
  <c r="B4" i="117"/>
  <c r="B5"/>
  <c r="C5" s="1"/>
  <c r="C6" s="1"/>
  <c r="B7"/>
  <c r="B8"/>
  <c r="A24"/>
  <c r="B16"/>
  <c r="C8"/>
  <c r="D8" s="1"/>
  <c r="E8" s="1"/>
  <c r="F8" s="1"/>
  <c r="G8" s="1"/>
  <c r="H8" s="1"/>
  <c r="I8" s="1"/>
  <c r="J8" s="1"/>
  <c r="K8" s="1"/>
  <c r="B6"/>
  <c r="C4"/>
  <c r="C3"/>
  <c r="D3" s="1"/>
  <c r="E3" s="1"/>
  <c r="B17" i="114"/>
  <c r="B6"/>
  <c r="B13" s="1"/>
  <c r="C20" i="112"/>
  <c r="C12"/>
  <c r="B12"/>
  <c r="C11"/>
  <c r="C19" s="1"/>
  <c r="C10"/>
  <c r="B6"/>
  <c r="B5"/>
  <c r="B7" s="1"/>
  <c r="G30" i="111"/>
  <c r="H30" s="1"/>
  <c r="F30"/>
  <c r="C20"/>
  <c r="E17"/>
  <c r="F17" s="1"/>
  <c r="D17"/>
  <c r="D20" s="1"/>
  <c r="E16"/>
  <c r="F16" s="1"/>
  <c r="G16" s="1"/>
  <c r="D16"/>
  <c r="E15"/>
  <c r="F15" s="1"/>
  <c r="G15" s="1"/>
  <c r="H15" s="1"/>
  <c r="I15" s="1"/>
  <c r="J15" s="1"/>
  <c r="K15" s="1"/>
  <c r="D15"/>
  <c r="E14"/>
  <c r="F14" s="1"/>
  <c r="G14" s="1"/>
  <c r="H14" s="1"/>
  <c r="I14" s="1"/>
  <c r="J14" s="1"/>
  <c r="K14" s="1"/>
  <c r="D14"/>
  <c r="E13"/>
  <c r="F13" s="1"/>
  <c r="G13" s="1"/>
  <c r="H13" s="1"/>
  <c r="I13" s="1"/>
  <c r="J13" s="1"/>
  <c r="K13" s="1"/>
  <c r="D13"/>
  <c r="G12"/>
  <c r="G23" s="1"/>
  <c r="C12"/>
  <c r="H12" s="1"/>
  <c r="H23" s="1"/>
  <c r="B12"/>
  <c r="B23" s="1"/>
  <c r="G11"/>
  <c r="C11"/>
  <c r="C19" s="1"/>
  <c r="H10"/>
  <c r="G10"/>
  <c r="D10"/>
  <c r="I10" s="1"/>
  <c r="C10"/>
  <c r="B6"/>
  <c r="B5"/>
  <c r="B7" s="1"/>
  <c r="C20" i="109"/>
  <c r="C12"/>
  <c r="B12"/>
  <c r="C11"/>
  <c r="C19" s="1"/>
  <c r="C10"/>
  <c r="B6"/>
  <c r="B5"/>
  <c r="B7" s="1"/>
  <c r="C20" i="110"/>
  <c r="C12"/>
  <c r="B12"/>
  <c r="C11"/>
  <c r="C19" s="1"/>
  <c r="C10"/>
  <c r="B6"/>
  <c r="B5"/>
  <c r="B7" s="1"/>
  <c r="A31" i="107"/>
  <c r="K22"/>
  <c r="J22"/>
  <c r="I22"/>
  <c r="H22"/>
  <c r="G22"/>
  <c r="F22"/>
  <c r="E22"/>
  <c r="D22"/>
  <c r="C22"/>
  <c r="B22"/>
  <c r="K21"/>
  <c r="J21"/>
  <c r="I21"/>
  <c r="H21"/>
  <c r="G21"/>
  <c r="F21"/>
  <c r="E21"/>
  <c r="D21"/>
  <c r="C21"/>
  <c r="B21"/>
  <c r="K20"/>
  <c r="J20"/>
  <c r="I20"/>
  <c r="H20"/>
  <c r="G20"/>
  <c r="F20"/>
  <c r="E20"/>
  <c r="D20"/>
  <c r="C20"/>
  <c r="B20"/>
  <c r="K19"/>
  <c r="J19"/>
  <c r="I19"/>
  <c r="H19"/>
  <c r="G19"/>
  <c r="F19"/>
  <c r="E19"/>
  <c r="D19"/>
  <c r="C19"/>
  <c r="B19"/>
  <c r="B18"/>
  <c r="B27" s="1"/>
  <c r="B17"/>
  <c r="B24" s="1"/>
  <c r="B16"/>
  <c r="D14"/>
  <c r="C14"/>
  <c r="C15" s="1"/>
  <c r="B14"/>
  <c r="B15" s="1"/>
  <c r="K8"/>
  <c r="J8"/>
  <c r="I8"/>
  <c r="H8"/>
  <c r="G8"/>
  <c r="F8"/>
  <c r="E8"/>
  <c r="D8"/>
  <c r="C8"/>
  <c r="B8"/>
  <c r="D6"/>
  <c r="D25" s="1"/>
  <c r="C6"/>
  <c r="C25" s="1"/>
  <c r="B6"/>
  <c r="B25" s="1"/>
  <c r="F5"/>
  <c r="G5" s="1"/>
  <c r="E5"/>
  <c r="C4"/>
  <c r="C18" s="1"/>
  <c r="C27" s="1"/>
  <c r="B16" i="108"/>
  <c r="B20" s="1"/>
  <c r="B14"/>
  <c r="B15" s="1"/>
  <c r="B8"/>
  <c r="B6"/>
  <c r="C14" i="121" l="1"/>
  <c r="C33" i="123"/>
  <c r="F5" s="1"/>
  <c r="C19"/>
  <c r="C23"/>
  <c r="C22"/>
  <c r="C21"/>
  <c r="C20"/>
  <c r="B19"/>
  <c r="B25" s="1" a="1"/>
  <c r="B25" s="1"/>
  <c r="I6" i="122"/>
  <c r="B22" s="1"/>
  <c r="C20"/>
  <c r="B11"/>
  <c r="D20" s="1"/>
  <c r="C30"/>
  <c r="C27" i="118"/>
  <c r="C31" s="1" a="1"/>
  <c r="C31" s="1"/>
  <c r="F40" i="119"/>
  <c r="F39"/>
  <c r="G7"/>
  <c r="C33"/>
  <c r="E33"/>
  <c r="G33"/>
  <c r="C34"/>
  <c r="E34"/>
  <c r="G34"/>
  <c r="C35"/>
  <c r="E35"/>
  <c r="G35"/>
  <c r="C37"/>
  <c r="E37"/>
  <c r="G37"/>
  <c r="E39"/>
  <c r="E40"/>
  <c r="D33"/>
  <c r="F33"/>
  <c r="H33"/>
  <c r="D34"/>
  <c r="F34"/>
  <c r="H34"/>
  <c r="D35"/>
  <c r="F35"/>
  <c r="H35"/>
  <c r="D37"/>
  <c r="F37"/>
  <c r="H37"/>
  <c r="D39"/>
  <c r="C36" i="120"/>
  <c r="C33"/>
  <c r="C41" s="1"/>
  <c r="B10" i="117"/>
  <c r="B23" i="115"/>
  <c r="C7" i="117"/>
  <c r="D7" s="1"/>
  <c r="E7" s="1"/>
  <c r="F7" s="1"/>
  <c r="G7" s="1"/>
  <c r="H7" s="1"/>
  <c r="I7" s="1"/>
  <c r="J7" s="1"/>
  <c r="K7" s="1"/>
  <c r="B12" i="17"/>
  <c r="B13" s="1"/>
  <c r="B47" s="1"/>
  <c r="C4" i="115"/>
  <c r="C8"/>
  <c r="D8" s="1"/>
  <c r="E8" s="1"/>
  <c r="F8" s="1"/>
  <c r="G8" s="1"/>
  <c r="H8" s="1"/>
  <c r="I8" s="1"/>
  <c r="J8" s="1"/>
  <c r="K8" s="1"/>
  <c r="L8" s="1"/>
  <c r="M8" s="1"/>
  <c r="C16"/>
  <c r="B10"/>
  <c r="D5" i="117"/>
  <c r="E5" s="1"/>
  <c r="F5" s="1"/>
  <c r="E16"/>
  <c r="F3"/>
  <c r="B11"/>
  <c r="E6"/>
  <c r="D6"/>
  <c r="D16"/>
  <c r="D4"/>
  <c r="C10"/>
  <c r="C16"/>
  <c r="B14" i="114"/>
  <c r="B16" s="1"/>
  <c r="B18"/>
  <c r="C6" i="112"/>
  <c r="C5"/>
  <c r="J10" i="111"/>
  <c r="I30"/>
  <c r="C6"/>
  <c r="C5"/>
  <c r="C22"/>
  <c r="H16"/>
  <c r="F20"/>
  <c r="G17"/>
  <c r="D19"/>
  <c r="D22" s="1"/>
  <c r="F19"/>
  <c r="H19"/>
  <c r="H22" s="1"/>
  <c r="J19"/>
  <c r="J22" s="1"/>
  <c r="E20"/>
  <c r="C23"/>
  <c r="C31"/>
  <c r="C32" s="1"/>
  <c r="C7"/>
  <c r="C9" s="1"/>
  <c r="E10"/>
  <c r="D11"/>
  <c r="H11"/>
  <c r="D12"/>
  <c r="E19"/>
  <c r="E22" s="1"/>
  <c r="G19"/>
  <c r="G22" s="1"/>
  <c r="I19"/>
  <c r="I22" s="1"/>
  <c r="K19"/>
  <c r="B22"/>
  <c r="B31"/>
  <c r="C7" i="109"/>
  <c r="C6"/>
  <c r="C5"/>
  <c r="C7" i="110"/>
  <c r="C6"/>
  <c r="C5"/>
  <c r="G14" i="107"/>
  <c r="G6"/>
  <c r="G25" s="1"/>
  <c r="H5"/>
  <c r="B26"/>
  <c r="B28" s="1"/>
  <c r="F6"/>
  <c r="F25" s="1"/>
  <c r="F14"/>
  <c r="D4"/>
  <c r="E6"/>
  <c r="E25" s="1"/>
  <c r="E14"/>
  <c r="C16"/>
  <c r="C26" s="1"/>
  <c r="C28" s="1"/>
  <c r="C17"/>
  <c r="C24" s="1"/>
  <c r="B18" i="108"/>
  <c r="B19"/>
  <c r="C25" i="123" l="1" a="1"/>
  <c r="C25" s="1"/>
  <c r="D25" s="1" a="1"/>
  <c r="D25" s="1"/>
  <c r="I8" i="122"/>
  <c r="B24" s="1"/>
  <c r="I7"/>
  <c r="C22"/>
  <c r="D22"/>
  <c r="H7" i="119"/>
  <c r="G40"/>
  <c r="G39"/>
  <c r="F41"/>
  <c r="E41"/>
  <c r="D41"/>
  <c r="G41"/>
  <c r="C41"/>
  <c r="D4" i="115"/>
  <c r="B11"/>
  <c r="B14" s="1"/>
  <c r="C6"/>
  <c r="C10" s="1"/>
  <c r="E16"/>
  <c r="D16"/>
  <c r="G5" i="117"/>
  <c r="F6"/>
  <c r="C11"/>
  <c r="B14"/>
  <c r="D10"/>
  <c r="D11" s="1"/>
  <c r="E4"/>
  <c r="G3"/>
  <c r="F16"/>
  <c r="B13"/>
  <c r="B15" i="114"/>
  <c r="C7" i="112"/>
  <c r="F10" i="111"/>
  <c r="J30"/>
  <c r="K10"/>
  <c r="D23"/>
  <c r="I12"/>
  <c r="E12"/>
  <c r="I11"/>
  <c r="E11"/>
  <c r="D7"/>
  <c r="D9" s="1"/>
  <c r="D6"/>
  <c r="D31" s="1"/>
  <c r="D32" s="1"/>
  <c r="D5"/>
  <c r="H17"/>
  <c r="G20"/>
  <c r="G6" s="1"/>
  <c r="I16"/>
  <c r="K22"/>
  <c r="F22"/>
  <c r="G5"/>
  <c r="I5" i="107"/>
  <c r="H14"/>
  <c r="H6"/>
  <c r="H25" s="1"/>
  <c r="D18"/>
  <c r="D27" s="1"/>
  <c r="D17"/>
  <c r="D24" s="1"/>
  <c r="D16"/>
  <c r="D26" s="1"/>
  <c r="D28" s="1"/>
  <c r="E4"/>
  <c r="E15" s="1"/>
  <c r="D15"/>
  <c r="C23" i="122" l="1"/>
  <c r="B23"/>
  <c r="D24"/>
  <c r="B31" a="1"/>
  <c r="C24"/>
  <c r="D23"/>
  <c r="H40" i="119"/>
  <c r="H39"/>
  <c r="H41" s="1"/>
  <c r="H42" s="1" a="1"/>
  <c r="H42" s="1"/>
  <c r="B15" i="117"/>
  <c r="C11" i="115"/>
  <c r="F16"/>
  <c r="D6"/>
  <c r="D10" s="1"/>
  <c r="D11" s="1"/>
  <c r="E4"/>
  <c r="B12"/>
  <c r="B13"/>
  <c r="B15" s="1"/>
  <c r="E10" i="117"/>
  <c r="E11" s="1"/>
  <c r="F4"/>
  <c r="G6"/>
  <c r="H5"/>
  <c r="C14"/>
  <c r="G16"/>
  <c r="H3"/>
  <c r="D14"/>
  <c r="D13"/>
  <c r="B12"/>
  <c r="C13"/>
  <c r="H20" i="111"/>
  <c r="I17"/>
  <c r="F11"/>
  <c r="F6" s="1"/>
  <c r="E6"/>
  <c r="F12"/>
  <c r="F23" s="1"/>
  <c r="E23"/>
  <c r="K30"/>
  <c r="E5"/>
  <c r="G7"/>
  <c r="G9" s="1"/>
  <c r="G31" s="1"/>
  <c r="G32" s="1"/>
  <c r="G33" s="1"/>
  <c r="J16"/>
  <c r="J11"/>
  <c r="J12"/>
  <c r="I23"/>
  <c r="F7"/>
  <c r="F9" s="1"/>
  <c r="F5"/>
  <c r="H6"/>
  <c r="E7"/>
  <c r="E9" s="1"/>
  <c r="E18" i="107"/>
  <c r="E27" s="1"/>
  <c r="E17"/>
  <c r="E24" s="1"/>
  <c r="F4"/>
  <c r="E16"/>
  <c r="E26" s="1"/>
  <c r="E28" s="1"/>
  <c r="I14"/>
  <c r="I6"/>
  <c r="I25" s="1"/>
  <c r="J5"/>
  <c r="B32" i="122" l="1"/>
  <c r="B31"/>
  <c r="B33" s="1"/>
  <c r="F4" i="115"/>
  <c r="C14"/>
  <c r="D14"/>
  <c r="D12" s="1"/>
  <c r="D17" s="1"/>
  <c r="D13"/>
  <c r="E6"/>
  <c r="E10" s="1"/>
  <c r="G16"/>
  <c r="C13"/>
  <c r="D12" i="117"/>
  <c r="D17" s="1"/>
  <c r="D15" s="1"/>
  <c r="C12"/>
  <c r="C15"/>
  <c r="I5"/>
  <c r="H6"/>
  <c r="F10"/>
  <c r="F11" s="1"/>
  <c r="G4"/>
  <c r="I3"/>
  <c r="H16"/>
  <c r="E14"/>
  <c r="E13"/>
  <c r="K16" i="111"/>
  <c r="J17"/>
  <c r="I20"/>
  <c r="F31"/>
  <c r="F32" s="1"/>
  <c r="F33" s="1"/>
  <c r="J23"/>
  <c r="K12"/>
  <c r="K23" s="1"/>
  <c r="K11"/>
  <c r="H5"/>
  <c r="H7"/>
  <c r="H9" s="1"/>
  <c r="H31"/>
  <c r="H32" s="1"/>
  <c r="H33" s="1"/>
  <c r="E31"/>
  <c r="E32" s="1"/>
  <c r="E33" s="1"/>
  <c r="K5" i="107"/>
  <c r="J14"/>
  <c r="J6"/>
  <c r="J25" s="1"/>
  <c r="F18"/>
  <c r="F27" s="1"/>
  <c r="F17"/>
  <c r="F24" s="1"/>
  <c r="G4"/>
  <c r="F16"/>
  <c r="F26" s="1"/>
  <c r="F28" s="1"/>
  <c r="F15"/>
  <c r="B34" i="122" l="1"/>
  <c r="E2" s="1"/>
  <c r="B37"/>
  <c r="C15" i="115"/>
  <c r="E11"/>
  <c r="G4"/>
  <c r="H16"/>
  <c r="F6"/>
  <c r="F10" s="1"/>
  <c r="D15"/>
  <c r="C12"/>
  <c r="E12" i="117"/>
  <c r="E17" s="1"/>
  <c r="E15" s="1"/>
  <c r="G10"/>
  <c r="G11" s="1"/>
  <c r="H4"/>
  <c r="I6"/>
  <c r="J5"/>
  <c r="I16"/>
  <c r="J3"/>
  <c r="F14"/>
  <c r="F13"/>
  <c r="I5" i="111"/>
  <c r="I7"/>
  <c r="I9" s="1"/>
  <c r="I6"/>
  <c r="I31" s="1"/>
  <c r="I32" s="1"/>
  <c r="I33" s="1"/>
  <c r="J20"/>
  <c r="J6" s="1"/>
  <c r="K17"/>
  <c r="K20" s="1"/>
  <c r="J7"/>
  <c r="J9" s="1"/>
  <c r="K14" i="107"/>
  <c r="K6"/>
  <c r="K25" s="1"/>
  <c r="G18"/>
  <c r="G27" s="1"/>
  <c r="G17"/>
  <c r="G24" s="1"/>
  <c r="H4"/>
  <c r="G16"/>
  <c r="G26" s="1"/>
  <c r="G28" s="1"/>
  <c r="G15"/>
  <c r="B38" i="122" l="1"/>
  <c r="B39"/>
  <c r="G6" i="115"/>
  <c r="I16"/>
  <c r="E14"/>
  <c r="E12" s="1"/>
  <c r="E17" s="1"/>
  <c r="H4"/>
  <c r="G10"/>
  <c r="G11" s="1"/>
  <c r="F11"/>
  <c r="E13"/>
  <c r="F12" i="117"/>
  <c r="F17" s="1"/>
  <c r="F15" s="1"/>
  <c r="K3"/>
  <c r="J16"/>
  <c r="K5"/>
  <c r="J6"/>
  <c r="H10"/>
  <c r="I4"/>
  <c r="G14"/>
  <c r="G13"/>
  <c r="J31" i="111"/>
  <c r="J32" s="1"/>
  <c r="J33" s="1"/>
  <c r="K5"/>
  <c r="J5"/>
  <c r="K6"/>
  <c r="K7"/>
  <c r="K9" s="1"/>
  <c r="H18" i="107"/>
  <c r="H27" s="1"/>
  <c r="H17"/>
  <c r="H24" s="1"/>
  <c r="I4"/>
  <c r="H16"/>
  <c r="H26" s="1"/>
  <c r="H28" s="1"/>
  <c r="H15"/>
  <c r="B49" i="122" l="1"/>
  <c r="B44"/>
  <c r="B40"/>
  <c r="B43" s="1"/>
  <c r="F2"/>
  <c r="B48"/>
  <c r="B51" s="1" a="1"/>
  <c r="B45"/>
  <c r="B41"/>
  <c r="B42" s="1"/>
  <c r="G14" i="115"/>
  <c r="G13"/>
  <c r="I4"/>
  <c r="J16"/>
  <c r="H6"/>
  <c r="H10" s="1"/>
  <c r="F13"/>
  <c r="E15"/>
  <c r="F14"/>
  <c r="G12" i="117"/>
  <c r="G17" s="1"/>
  <c r="G15" s="1"/>
  <c r="I10"/>
  <c r="I11" s="1"/>
  <c r="J4"/>
  <c r="K6"/>
  <c r="K16"/>
  <c r="H11"/>
  <c r="D33" i="111" a="1"/>
  <c r="D33" s="1"/>
  <c r="K31"/>
  <c r="K32" s="1"/>
  <c r="K33" s="1"/>
  <c r="I18" i="107"/>
  <c r="I27" s="1"/>
  <c r="I17"/>
  <c r="I24" s="1"/>
  <c r="J4"/>
  <c r="I16"/>
  <c r="I26" s="1"/>
  <c r="I28" s="1"/>
  <c r="I15"/>
  <c r="D51" i="122" l="1"/>
  <c r="B51"/>
  <c r="C51"/>
  <c r="H2"/>
  <c r="G2"/>
  <c r="C2" s="1"/>
  <c r="B46"/>
  <c r="I2" s="1"/>
  <c r="B52" a="1"/>
  <c r="H11" i="115"/>
  <c r="J4"/>
  <c r="I6"/>
  <c r="I10" s="1"/>
  <c r="K16"/>
  <c r="G12"/>
  <c r="G17" s="1"/>
  <c r="G15" s="1"/>
  <c r="F12"/>
  <c r="F17" s="1"/>
  <c r="F15" s="1"/>
  <c r="H14" i="117"/>
  <c r="H12" s="1"/>
  <c r="J10"/>
  <c r="J11" s="1"/>
  <c r="K4"/>
  <c r="I14"/>
  <c r="I13"/>
  <c r="H13"/>
  <c r="J18" i="107"/>
  <c r="J27" s="1"/>
  <c r="J17"/>
  <c r="J24" s="1"/>
  <c r="K4"/>
  <c r="J16"/>
  <c r="J26" s="1"/>
  <c r="J28" s="1"/>
  <c r="J15"/>
  <c r="B54" i="122" l="1"/>
  <c r="B52"/>
  <c r="B53"/>
  <c r="B55"/>
  <c r="I11" i="115"/>
  <c r="L16"/>
  <c r="J6"/>
  <c r="J10" s="1"/>
  <c r="H14"/>
  <c r="K4"/>
  <c r="H13"/>
  <c r="I12" i="117"/>
  <c r="I17" s="1"/>
  <c r="I15" s="1"/>
  <c r="H17"/>
  <c r="H15" s="1"/>
  <c r="K10"/>
  <c r="K11" s="1"/>
  <c r="J14"/>
  <c r="J13"/>
  <c r="K18" i="107"/>
  <c r="K27" s="1"/>
  <c r="K17"/>
  <c r="K24" s="1"/>
  <c r="K16"/>
  <c r="K26" s="1"/>
  <c r="K28" s="1"/>
  <c r="K15"/>
  <c r="B31" i="105"/>
  <c r="B30"/>
  <c r="B56" i="122" l="1"/>
  <c r="E3" s="1"/>
  <c r="B59"/>
  <c r="I14" i="115"/>
  <c r="L4"/>
  <c r="K6"/>
  <c r="K10" s="1"/>
  <c r="M16"/>
  <c r="J11"/>
  <c r="J14" s="1"/>
  <c r="H12"/>
  <c r="H17" s="1"/>
  <c r="H15" s="1"/>
  <c r="I13"/>
  <c r="J12" i="117"/>
  <c r="J17" s="1"/>
  <c r="J15" s="1"/>
  <c r="K14"/>
  <c r="K13"/>
  <c r="B24" i="105"/>
  <c r="B14"/>
  <c r="B25" s="1"/>
  <c r="B27" s="1"/>
  <c r="B29" s="1"/>
  <c r="B15" s="1"/>
  <c r="B10"/>
  <c r="B26" s="1"/>
  <c r="B28" s="1"/>
  <c r="B3"/>
  <c r="B16" s="1"/>
  <c r="B60" i="122" l="1"/>
  <c r="B61" s="1"/>
  <c r="K11" i="115"/>
  <c r="M4"/>
  <c r="J12"/>
  <c r="J17" s="1"/>
  <c r="L6"/>
  <c r="L10" s="1"/>
  <c r="M6"/>
  <c r="I12"/>
  <c r="I17" s="1"/>
  <c r="I15" s="1"/>
  <c r="J13"/>
  <c r="J15" s="1"/>
  <c r="K12" i="117"/>
  <c r="K15" s="1"/>
  <c r="B18" i="105"/>
  <c r="B66" i="122" l="1"/>
  <c r="B64"/>
  <c r="B62"/>
  <c r="B67" s="1"/>
  <c r="F3"/>
  <c r="B69"/>
  <c r="B65"/>
  <c r="B63"/>
  <c r="L11" i="115"/>
  <c r="M10"/>
  <c r="K14"/>
  <c r="K12" s="1"/>
  <c r="K17" s="1"/>
  <c r="K13"/>
  <c r="B20" i="105"/>
  <c r="B22" s="1"/>
  <c r="B23" s="1"/>
  <c r="B19"/>
  <c r="B21" s="1"/>
  <c r="H3" i="122" l="1"/>
  <c r="G3"/>
  <c r="C3" s="1"/>
  <c r="B68"/>
  <c r="I3" s="1"/>
  <c r="L14" i="115"/>
  <c r="K15"/>
  <c r="M11"/>
  <c r="L13"/>
  <c r="C22" i="106"/>
  <c r="C24" s="1"/>
  <c r="B22"/>
  <c r="B24" s="1"/>
  <c r="C3"/>
  <c r="C21" s="1"/>
  <c r="C23" s="1"/>
  <c r="C25" s="1"/>
  <c r="B3"/>
  <c r="B21" s="1"/>
  <c r="B23" s="1"/>
  <c r="B25" s="1"/>
  <c r="B27"/>
  <c r="B26"/>
  <c r="C27"/>
  <c r="C26"/>
  <c r="M14" i="115" l="1"/>
  <c r="L12"/>
  <c r="L17" s="1"/>
  <c r="L15" s="1"/>
  <c r="M13"/>
  <c r="C11" i="106"/>
  <c r="C12"/>
  <c r="C20"/>
  <c r="B11"/>
  <c r="B12"/>
  <c r="B20"/>
  <c r="M12" i="115" l="1"/>
  <c r="M17" s="1"/>
  <c r="M15" s="1"/>
  <c r="B14" i="106"/>
  <c r="C14"/>
  <c r="C16" l="1"/>
  <c r="C18" s="1"/>
  <c r="C19" s="1"/>
  <c r="C15"/>
  <c r="C17" s="1"/>
  <c r="B16"/>
  <c r="B18" s="1"/>
  <c r="B19" s="1"/>
  <c r="B15"/>
  <c r="B17" s="1"/>
  <c r="B88" i="103" l="1"/>
  <c r="B87"/>
  <c r="B61"/>
  <c r="B60"/>
  <c r="B39"/>
  <c r="B38"/>
  <c r="B33" a="1"/>
  <c r="C33" s="1"/>
  <c r="C23"/>
  <c r="B23"/>
  <c r="J9" s="1"/>
  <c r="B15"/>
  <c r="E23" s="1"/>
  <c r="H12"/>
  <c r="E12"/>
  <c r="G11"/>
  <c r="E11"/>
  <c r="B11"/>
  <c r="D23" s="1"/>
  <c r="J10"/>
  <c r="F10"/>
  <c r="C26" s="1"/>
  <c r="H9"/>
  <c r="E25" s="1"/>
  <c r="G9"/>
  <c r="F9"/>
  <c r="C25" s="1"/>
  <c r="J11" l="1"/>
  <c r="D26"/>
  <c r="D25"/>
  <c r="D27"/>
  <c r="E27"/>
  <c r="E26"/>
  <c r="J12"/>
  <c r="D28" s="1"/>
  <c r="C28"/>
  <c r="B25"/>
  <c r="B26"/>
  <c r="B27"/>
  <c r="C27"/>
  <c r="B33"/>
  <c r="B34" l="1" a="1"/>
  <c r="B28"/>
  <c r="E28"/>
  <c r="B34" l="1"/>
  <c r="B35"/>
  <c r="B36" l="1"/>
  <c r="B37" l="1"/>
  <c r="E2" s="1"/>
  <c r="B40"/>
  <c r="B41" l="1"/>
  <c r="B42" s="1"/>
  <c r="B51" l="1"/>
  <c r="B48"/>
  <c r="G2" s="1"/>
  <c r="B44"/>
  <c r="B45" s="1"/>
  <c r="B52"/>
  <c r="B47"/>
  <c r="B43"/>
  <c r="B46" s="1"/>
  <c r="F2"/>
  <c r="B49" l="1"/>
  <c r="J2" s="1"/>
  <c r="H2"/>
  <c r="I2"/>
  <c r="B54" a="1"/>
  <c r="B55" a="1"/>
  <c r="B56" l="1"/>
  <c r="B57"/>
  <c r="B55"/>
  <c r="C54"/>
  <c r="D54"/>
  <c r="B54"/>
  <c r="B58" s="1"/>
  <c r="B59" l="1"/>
  <c r="E3" s="1"/>
  <c r="B62"/>
  <c r="B63" l="1"/>
  <c r="B64" s="1"/>
  <c r="B77" l="1"/>
  <c r="B72"/>
  <c r="B68"/>
  <c r="B66"/>
  <c r="B78"/>
  <c r="B69"/>
  <c r="B67"/>
  <c r="B65"/>
  <c r="B70" s="1"/>
  <c r="F3"/>
  <c r="B76"/>
  <c r="B80" l="1" a="1"/>
  <c r="B81" a="1"/>
  <c r="B74"/>
  <c r="B73"/>
  <c r="G3" s="1"/>
  <c r="B71"/>
  <c r="J3" s="1"/>
  <c r="H3"/>
  <c r="I3"/>
  <c r="E80" l="1"/>
  <c r="C80"/>
  <c r="D80"/>
  <c r="B80"/>
  <c r="B85" s="1"/>
  <c r="B83"/>
  <c r="B81"/>
  <c r="B84"/>
  <c r="B82"/>
  <c r="B86" l="1"/>
  <c r="E4" s="1"/>
  <c r="B89"/>
  <c r="B90" l="1"/>
  <c r="B91" s="1"/>
  <c r="B97" l="1"/>
  <c r="B95"/>
  <c r="B93"/>
  <c r="B100"/>
  <c r="B96"/>
  <c r="B94"/>
  <c r="B92"/>
  <c r="B98" s="1"/>
  <c r="F4"/>
  <c r="B101" l="1"/>
  <c r="G4" s="1"/>
  <c r="B99"/>
  <c r="J4" s="1"/>
  <c r="B102"/>
  <c r="H4"/>
  <c r="I4"/>
  <c r="B17" i="88" l="1"/>
  <c r="B23"/>
  <c r="B16"/>
  <c r="B15"/>
  <c r="B18" s="1" a="1"/>
  <c r="B17" i="87"/>
  <c r="B23"/>
  <c r="B16"/>
  <c r="B15"/>
  <c r="B18" s="1" a="1"/>
  <c r="B38" i="89"/>
  <c r="B37"/>
  <c r="B36" s="1"/>
  <c r="B35" s="1"/>
  <c r="B34"/>
  <c r="B26"/>
  <c r="B25"/>
  <c r="A24"/>
  <c r="B21"/>
  <c r="B18"/>
  <c r="B17"/>
  <c r="B5"/>
  <c r="B4"/>
  <c r="B3"/>
  <c r="B22" s="1"/>
  <c r="A23" i="100"/>
  <c r="B16"/>
  <c r="B15"/>
  <c r="B17" s="1" a="1"/>
  <c r="B17" s="1"/>
  <c r="B6"/>
  <c r="B22" s="1"/>
  <c r="A31" i="97"/>
  <c r="A30"/>
  <c r="A29"/>
  <c r="A28"/>
  <c r="C26"/>
  <c r="C23"/>
  <c r="E14"/>
  <c r="D14"/>
  <c r="C14"/>
  <c r="C12"/>
  <c r="C21" s="1"/>
  <c r="H45" i="96"/>
  <c r="G45"/>
  <c r="F45"/>
  <c r="E45"/>
  <c r="D45"/>
  <c r="C45"/>
  <c r="C40"/>
  <c r="C39"/>
  <c r="H23"/>
  <c r="G23"/>
  <c r="F23"/>
  <c r="E23"/>
  <c r="D23"/>
  <c r="C23"/>
  <c r="J22"/>
  <c r="H22"/>
  <c r="G22"/>
  <c r="F22"/>
  <c r="E22"/>
  <c r="D22"/>
  <c r="C22"/>
  <c r="H20"/>
  <c r="H38" s="1"/>
  <c r="G20"/>
  <c r="G38" s="1"/>
  <c r="F20"/>
  <c r="F38" s="1"/>
  <c r="E20"/>
  <c r="E38" s="1"/>
  <c r="D20"/>
  <c r="D38" s="1"/>
  <c r="C20"/>
  <c r="C38" s="1"/>
  <c r="H19"/>
  <c r="H36" s="1"/>
  <c r="G19"/>
  <c r="G36" s="1"/>
  <c r="F19"/>
  <c r="F36" s="1"/>
  <c r="E19"/>
  <c r="E36" s="1"/>
  <c r="D19"/>
  <c r="D36" s="1"/>
  <c r="C19"/>
  <c r="C36" s="1"/>
  <c r="D7"/>
  <c r="D40" s="1"/>
  <c r="C43" i="95"/>
  <c r="C40"/>
  <c r="C39"/>
  <c r="C38"/>
  <c r="C36"/>
  <c r="C34"/>
  <c r="D23"/>
  <c r="C23"/>
  <c r="E22"/>
  <c r="C22"/>
  <c r="C20"/>
  <c r="C37" s="1"/>
  <c r="C19"/>
  <c r="C35" s="1"/>
  <c r="C37" i="94"/>
  <c r="A36"/>
  <c r="A35"/>
  <c r="A34"/>
  <c r="A33"/>
  <c r="C30"/>
  <c r="C21"/>
  <c r="C20"/>
  <c r="D20" s="1"/>
  <c r="C17"/>
  <c r="C28" s="1"/>
  <c r="C16"/>
  <c r="D21" s="1"/>
  <c r="C15"/>
  <c r="H42" i="93"/>
  <c r="G42"/>
  <c r="F42"/>
  <c r="E42"/>
  <c r="D42"/>
  <c r="C42"/>
  <c r="C40"/>
  <c r="C39"/>
  <c r="H23"/>
  <c r="G23"/>
  <c r="F23"/>
  <c r="E23"/>
  <c r="D23"/>
  <c r="C23"/>
  <c r="H22"/>
  <c r="G22"/>
  <c r="F22"/>
  <c r="E22"/>
  <c r="D22"/>
  <c r="C22"/>
  <c r="H20"/>
  <c r="H38" s="1"/>
  <c r="G20"/>
  <c r="G38" s="1"/>
  <c r="F20"/>
  <c r="F38" s="1"/>
  <c r="E20"/>
  <c r="E38" s="1"/>
  <c r="D20"/>
  <c r="D38" s="1"/>
  <c r="C20"/>
  <c r="C38" s="1"/>
  <c r="H19"/>
  <c r="H36" s="1"/>
  <c r="G19"/>
  <c r="G36" s="1"/>
  <c r="F19"/>
  <c r="F36" s="1"/>
  <c r="E19"/>
  <c r="E36" s="1"/>
  <c r="D19"/>
  <c r="D36" s="1"/>
  <c r="C19"/>
  <c r="C36" s="1"/>
  <c r="H18"/>
  <c r="G18"/>
  <c r="F18"/>
  <c r="E18"/>
  <c r="D18"/>
  <c r="C18"/>
  <c r="H17"/>
  <c r="G17"/>
  <c r="F17"/>
  <c r="E17"/>
  <c r="D17"/>
  <c r="C17"/>
  <c r="D7"/>
  <c r="E7" s="1"/>
  <c r="C56" i="92"/>
  <c r="C43"/>
  <c r="C45" s="1"/>
  <c r="C40"/>
  <c r="C39"/>
  <c r="C23"/>
  <c r="D23" s="1"/>
  <c r="C22"/>
  <c r="D22" s="1"/>
  <c r="C20"/>
  <c r="C19"/>
  <c r="C36" s="1"/>
  <c r="C18"/>
  <c r="C17"/>
  <c r="B43" i="83"/>
  <c r="B40" s="1"/>
  <c r="B39" s="1"/>
  <c r="B42"/>
  <c r="B41"/>
  <c r="B38"/>
  <c r="D26"/>
  <c r="B26"/>
  <c r="D20"/>
  <c r="B20"/>
  <c r="D19"/>
  <c r="B19"/>
  <c r="D18"/>
  <c r="B18"/>
  <c r="D17"/>
  <c r="B17"/>
  <c r="D16"/>
  <c r="B16"/>
  <c r="D15"/>
  <c r="D21" s="1" a="1"/>
  <c r="D21" s="1"/>
  <c r="B15"/>
  <c r="B21" s="1" a="1"/>
  <c r="B21" s="1"/>
  <c r="E31" i="84"/>
  <c r="E30"/>
  <c r="E17" s="1"/>
  <c r="E29"/>
  <c r="A23"/>
  <c r="E22"/>
  <c r="B22"/>
  <c r="E16"/>
  <c r="B16"/>
  <c r="E15"/>
  <c r="E18" s="1" a="1"/>
  <c r="E18" s="1"/>
  <c r="B15"/>
  <c r="B17" s="1" a="1"/>
  <c r="B17" s="1"/>
  <c r="L47" i="82"/>
  <c r="K47"/>
  <c r="J47"/>
  <c r="I47"/>
  <c r="H47"/>
  <c r="G47"/>
  <c r="F47"/>
  <c r="E47"/>
  <c r="D47"/>
  <c r="C47"/>
  <c r="B47"/>
  <c r="L46"/>
  <c r="L48" s="1"/>
  <c r="K46"/>
  <c r="K48" s="1"/>
  <c r="J46"/>
  <c r="J48" s="1"/>
  <c r="I46"/>
  <c r="I48" s="1"/>
  <c r="H46"/>
  <c r="H48" s="1"/>
  <c r="G46"/>
  <c r="G48" s="1"/>
  <c r="F46"/>
  <c r="F48" s="1"/>
  <c r="E46"/>
  <c r="E48" s="1"/>
  <c r="D46"/>
  <c r="D48" s="1"/>
  <c r="C46"/>
  <c r="C48" s="1"/>
  <c r="B46"/>
  <c r="B48" s="1"/>
  <c r="B36"/>
  <c r="A26"/>
  <c r="B25"/>
  <c r="B23"/>
  <c r="B35" s="1"/>
  <c r="B22"/>
  <c r="B16"/>
  <c r="B15"/>
  <c r="B17" s="1" a="1"/>
  <c r="B17" s="1"/>
  <c r="B6"/>
  <c r="B27" i="89" l="1"/>
  <c r="B19" s="1"/>
  <c r="B24" s="1"/>
  <c r="B18" i="88"/>
  <c r="B18" i="87"/>
  <c r="B23" i="89"/>
  <c r="B20" s="1"/>
  <c r="B28" s="1" a="1"/>
  <c r="B28" s="1"/>
  <c r="C20" i="97"/>
  <c r="C24" s="1" a="1"/>
  <c r="C24" s="1"/>
  <c r="C22"/>
  <c r="E7" i="96"/>
  <c r="D33"/>
  <c r="F33"/>
  <c r="H33"/>
  <c r="D34"/>
  <c r="F34"/>
  <c r="H34"/>
  <c r="D35"/>
  <c r="F35"/>
  <c r="H35"/>
  <c r="D37"/>
  <c r="F37"/>
  <c r="H37"/>
  <c r="D39"/>
  <c r="C33"/>
  <c r="E33"/>
  <c r="G33"/>
  <c r="C34"/>
  <c r="E34"/>
  <c r="G34"/>
  <c r="C35"/>
  <c r="E35"/>
  <c r="G35"/>
  <c r="C37"/>
  <c r="E37"/>
  <c r="G37"/>
  <c r="D22" i="95"/>
  <c r="C33"/>
  <c r="C41" s="1"/>
  <c r="C27" i="94"/>
  <c r="C31" s="1" a="1"/>
  <c r="C31" s="1"/>
  <c r="C29"/>
  <c r="E40" i="93"/>
  <c r="E39"/>
  <c r="F7"/>
  <c r="D33"/>
  <c r="F33"/>
  <c r="H33"/>
  <c r="D34"/>
  <c r="F34"/>
  <c r="H34"/>
  <c r="D35"/>
  <c r="F35"/>
  <c r="H35"/>
  <c r="D37"/>
  <c r="F37"/>
  <c r="H37"/>
  <c r="D39"/>
  <c r="D40"/>
  <c r="C33"/>
  <c r="E33"/>
  <c r="G33"/>
  <c r="C34"/>
  <c r="E34"/>
  <c r="G34"/>
  <c r="C35"/>
  <c r="E35"/>
  <c r="G35"/>
  <c r="C37"/>
  <c r="E37"/>
  <c r="G37"/>
  <c r="C33" i="92"/>
  <c r="C35"/>
  <c r="C37"/>
  <c r="C44"/>
  <c r="C46" s="1"/>
  <c r="C34"/>
  <c r="C38"/>
  <c r="B34" i="82"/>
  <c r="B37" s="1"/>
  <c r="B24" s="1"/>
  <c r="E40" i="96" l="1"/>
  <c r="E39"/>
  <c r="F7"/>
  <c r="C41"/>
  <c r="E41"/>
  <c r="D41"/>
  <c r="G7" i="93"/>
  <c r="F40"/>
  <c r="F39"/>
  <c r="E41"/>
  <c r="F41"/>
  <c r="C41"/>
  <c r="D41"/>
  <c r="C41" i="92"/>
  <c r="C47"/>
  <c r="B7" i="23"/>
  <c r="N3" i="80"/>
  <c r="M3"/>
  <c r="L3"/>
  <c r="K3"/>
  <c r="J3"/>
  <c r="I3"/>
  <c r="H3"/>
  <c r="G3"/>
  <c r="F3"/>
  <c r="E3"/>
  <c r="D3"/>
  <c r="C3"/>
  <c r="B3"/>
  <c r="A9"/>
  <c r="E5"/>
  <c r="F5" s="1"/>
  <c r="G5" s="1"/>
  <c r="H5" s="1"/>
  <c r="I5" s="1"/>
  <c r="J5" s="1"/>
  <c r="K5" s="1"/>
  <c r="L5" s="1"/>
  <c r="M5" s="1"/>
  <c r="N5" s="1"/>
  <c r="C2"/>
  <c r="B2"/>
  <c r="A9" i="81"/>
  <c r="N3"/>
  <c r="N4" s="1"/>
  <c r="M3"/>
  <c r="M4" s="1"/>
  <c r="L3"/>
  <c r="L4" s="1"/>
  <c r="K3"/>
  <c r="K4" s="1"/>
  <c r="J3"/>
  <c r="J4" s="1"/>
  <c r="I3"/>
  <c r="I4" s="1"/>
  <c r="H3"/>
  <c r="H4" s="1"/>
  <c r="G3"/>
  <c r="G4" s="1"/>
  <c r="F3"/>
  <c r="F4" s="1"/>
  <c r="E3"/>
  <c r="E4" s="1"/>
  <c r="D3"/>
  <c r="D4" s="1"/>
  <c r="C3"/>
  <c r="C4" s="1"/>
  <c r="B3"/>
  <c r="B4" s="1"/>
  <c r="E5"/>
  <c r="F5" s="1"/>
  <c r="G5" s="1"/>
  <c r="H5" s="1"/>
  <c r="I5" s="1"/>
  <c r="J5" s="1"/>
  <c r="K5" s="1"/>
  <c r="L5" s="1"/>
  <c r="M5" s="1"/>
  <c r="N5" s="1"/>
  <c r="B2"/>
  <c r="B18" i="26"/>
  <c r="B17"/>
  <c r="B16"/>
  <c r="B15"/>
  <c r="B11"/>
  <c r="F40" i="96" l="1"/>
  <c r="F39"/>
  <c r="F41" s="1"/>
  <c r="G7"/>
  <c r="G40" i="93"/>
  <c r="G39"/>
  <c r="H7"/>
  <c r="I41" a="1"/>
  <c r="I41" s="1"/>
  <c r="B4" i="80"/>
  <c r="C4"/>
  <c r="D2"/>
  <c r="C2" i="81"/>
  <c r="B13" i="26"/>
  <c r="G40" i="96" l="1"/>
  <c r="G39"/>
  <c r="G41" s="1"/>
  <c r="H7"/>
  <c r="H40" i="93"/>
  <c r="H39"/>
  <c r="G41"/>
  <c r="D4" i="80"/>
  <c r="E2"/>
  <c r="D2" i="81"/>
  <c r="C15" i="77"/>
  <c r="C16"/>
  <c r="B27" a="1"/>
  <c r="F11" i="31"/>
  <c r="E11"/>
  <c r="D11"/>
  <c r="D10" s="1"/>
  <c r="E10" s="1"/>
  <c r="F10" s="1"/>
  <c r="C11"/>
  <c r="B43" i="41"/>
  <c r="C60"/>
  <c r="B60" s="1"/>
  <c r="D60"/>
  <c r="C42"/>
  <c r="B109"/>
  <c r="B104"/>
  <c r="B108"/>
  <c r="C98"/>
  <c r="C97"/>
  <c r="C109" s="1"/>
  <c r="B101"/>
  <c r="B105" s="1"/>
  <c r="B9" i="77"/>
  <c r="B8"/>
  <c r="B7"/>
  <c r="B6"/>
  <c r="B5"/>
  <c r="B4"/>
  <c r="F60" i="41"/>
  <c r="G60" s="1"/>
  <c r="H60" s="1"/>
  <c r="G5"/>
  <c r="F5" s="1"/>
  <c r="E26" i="77"/>
  <c r="B19" i="50"/>
  <c r="B21"/>
  <c r="B13" s="1"/>
  <c r="B17"/>
  <c r="B44" i="2"/>
  <c r="B45" s="1"/>
  <c r="B47" s="1"/>
  <c r="B46"/>
  <c r="B34"/>
  <c r="B33"/>
  <c r="B32"/>
  <c r="B30"/>
  <c r="B26"/>
  <c r="B10" s="1"/>
  <c r="B9"/>
  <c r="B8"/>
  <c r="B7"/>
  <c r="B35" s="1"/>
  <c r="B36" s="1"/>
  <c r="B3"/>
  <c r="B9" i="54"/>
  <c r="B10"/>
  <c r="B11" s="1"/>
  <c r="B12" s="1"/>
  <c r="B14"/>
  <c r="A19" i="78"/>
  <c r="A18"/>
  <c r="A17"/>
  <c r="A16"/>
  <c r="A15"/>
  <c r="C9"/>
  <c r="D9"/>
  <c r="B14"/>
  <c r="C13"/>
  <c r="B13"/>
  <c r="B7"/>
  <c r="Z12" s="1"/>
  <c r="U12"/>
  <c r="Q12"/>
  <c r="O12"/>
  <c r="M12"/>
  <c r="K12"/>
  <c r="I12"/>
  <c r="G12"/>
  <c r="E12"/>
  <c r="C12"/>
  <c r="C11"/>
  <c r="B11"/>
  <c r="B3" i="28"/>
  <c r="B12"/>
  <c r="B5" i="75"/>
  <c r="B6"/>
  <c r="C15" s="1"/>
  <c r="C23" s="1"/>
  <c r="C13"/>
  <c r="C21"/>
  <c r="A10"/>
  <c r="A9"/>
  <c r="A8"/>
  <c r="B5" i="76"/>
  <c r="B6" s="1"/>
  <c r="B6" i="20"/>
  <c r="B7"/>
  <c r="B9"/>
  <c r="B10"/>
  <c r="C2" i="25"/>
  <c r="D2" s="1"/>
  <c r="E2" s="1"/>
  <c r="F2" s="1"/>
  <c r="G2" s="1"/>
  <c r="H2" s="1"/>
  <c r="I2" s="1"/>
  <c r="J2" s="1"/>
  <c r="K2" s="1"/>
  <c r="L2" s="1"/>
  <c r="M2" s="1"/>
  <c r="N2" s="1"/>
  <c r="B3" i="24"/>
  <c r="C2"/>
  <c r="C3" s="1"/>
  <c r="C3" i="31"/>
  <c r="D3" s="1"/>
  <c r="B19"/>
  <c r="B17" s="1"/>
  <c r="C6"/>
  <c r="C19" s="1"/>
  <c r="C17" s="1"/>
  <c r="C7"/>
  <c r="C5"/>
  <c r="D5" s="1"/>
  <c r="E5" s="1"/>
  <c r="F5" s="1"/>
  <c r="C4"/>
  <c r="D6"/>
  <c r="D19" s="1"/>
  <c r="D17" s="1"/>
  <c r="D18" s="1"/>
  <c r="D7"/>
  <c r="E7" s="1"/>
  <c r="F7" s="1"/>
  <c r="D4"/>
  <c r="E4" s="1"/>
  <c r="F4" s="1"/>
  <c r="A28"/>
  <c r="A27"/>
  <c r="A26"/>
  <c r="A25"/>
  <c r="A24"/>
  <c r="A23"/>
  <c r="C21"/>
  <c r="B21"/>
  <c r="C2"/>
  <c r="D2"/>
  <c r="E2" s="1"/>
  <c r="F2" s="1"/>
  <c r="B28" i="65"/>
  <c r="A28"/>
  <c r="B21" i="77"/>
  <c r="E11"/>
  <c r="E12"/>
  <c r="E16"/>
  <c r="E15"/>
  <c r="E19" s="1"/>
  <c r="B11"/>
  <c r="B25" s="1"/>
  <c r="B12"/>
  <c r="B24" s="1"/>
  <c r="C13" i="76"/>
  <c r="C21" s="1"/>
  <c r="A10"/>
  <c r="A9"/>
  <c r="A8"/>
  <c r="B7" i="65"/>
  <c r="B9"/>
  <c r="B11" s="1"/>
  <c r="B12" s="1"/>
  <c r="B15"/>
  <c r="B24"/>
  <c r="C11" i="66"/>
  <c r="D11"/>
  <c r="C9"/>
  <c r="D9"/>
  <c r="E9" s="1"/>
  <c r="F9" s="1"/>
  <c r="G9" s="1"/>
  <c r="B10"/>
  <c r="C10" s="1"/>
  <c r="C7"/>
  <c r="D7" s="1"/>
  <c r="E7" s="1"/>
  <c r="F7" s="1"/>
  <c r="G7" s="1"/>
  <c r="B17"/>
  <c r="B14"/>
  <c r="C14" s="1"/>
  <c r="D14" s="1"/>
  <c r="E14" s="1"/>
  <c r="F14" s="1"/>
  <c r="G14" s="1"/>
  <c r="C13" i="49"/>
  <c r="D13" s="1"/>
  <c r="E13" s="1"/>
  <c r="F13" s="1"/>
  <c r="C11"/>
  <c r="C9"/>
  <c r="D9"/>
  <c r="E9" s="1"/>
  <c r="F9" s="1"/>
  <c r="G9" s="1"/>
  <c r="C10"/>
  <c r="D10" s="1"/>
  <c r="E10" s="1"/>
  <c r="F10" s="1"/>
  <c r="G10" s="1"/>
  <c r="C7"/>
  <c r="D7"/>
  <c r="E7" s="1"/>
  <c r="F7" s="1"/>
  <c r="G7" s="1"/>
  <c r="B17"/>
  <c r="B18"/>
  <c r="B19"/>
  <c r="B20" s="1"/>
  <c r="B14"/>
  <c r="C14" s="1"/>
  <c r="D14" s="1"/>
  <c r="E14" s="1"/>
  <c r="F14" s="1"/>
  <c r="G14" s="1"/>
  <c r="M26" i="55"/>
  <c r="D12"/>
  <c r="E12"/>
  <c r="L5"/>
  <c r="L7"/>
  <c r="L9" s="1"/>
  <c r="C2"/>
  <c r="K5"/>
  <c r="K7"/>
  <c r="K9" s="1"/>
  <c r="J5"/>
  <c r="J7"/>
  <c r="J9"/>
  <c r="C20"/>
  <c r="D20"/>
  <c r="E20" s="1"/>
  <c r="F20" s="1"/>
  <c r="G20" s="1"/>
  <c r="H20" s="1"/>
  <c r="I20" s="1"/>
  <c r="J20" s="1"/>
  <c r="K20" s="1"/>
  <c r="L20" s="1"/>
  <c r="I5"/>
  <c r="I7"/>
  <c r="I9" s="1"/>
  <c r="H5"/>
  <c r="H7"/>
  <c r="H9"/>
  <c r="G5"/>
  <c r="G7"/>
  <c r="G9" s="1"/>
  <c r="F5"/>
  <c r="F7"/>
  <c r="F9"/>
  <c r="E5"/>
  <c r="E7"/>
  <c r="E9" s="1"/>
  <c r="D13"/>
  <c r="D5"/>
  <c r="D7"/>
  <c r="D9" s="1"/>
  <c r="C13"/>
  <c r="C22" s="1"/>
  <c r="C5"/>
  <c r="C7"/>
  <c r="C9" s="1"/>
  <c r="C10" s="1"/>
  <c r="B13"/>
  <c r="B5"/>
  <c r="B7"/>
  <c r="B9" s="1"/>
  <c r="B10" s="1"/>
  <c r="A26"/>
  <c r="M25"/>
  <c r="A25"/>
  <c r="B17"/>
  <c r="B41" i="51"/>
  <c r="A41"/>
  <c r="B40"/>
  <c r="A40"/>
  <c r="B39"/>
  <c r="A39"/>
  <c r="C14"/>
  <c r="C15"/>
  <c r="C32"/>
  <c r="D3"/>
  <c r="D4" i="56"/>
  <c r="E4"/>
  <c r="D9"/>
  <c r="E9"/>
  <c r="F9" s="1"/>
  <c r="G9" s="1"/>
  <c r="H9" s="1"/>
  <c r="I9" s="1"/>
  <c r="J9" s="1"/>
  <c r="K9" s="1"/>
  <c r="D6"/>
  <c r="E6"/>
  <c r="F6" s="1"/>
  <c r="G6"/>
  <c r="H6" s="1"/>
  <c r="I6" s="1"/>
  <c r="J6" s="1"/>
  <c r="K6" s="1"/>
  <c r="D8"/>
  <c r="E8" s="1"/>
  <c r="C33"/>
  <c r="C32" s="1"/>
  <c r="D7"/>
  <c r="E7" s="1"/>
  <c r="F7" s="1"/>
  <c r="G7" s="1"/>
  <c r="H7" s="1"/>
  <c r="I7" s="1"/>
  <c r="J7" s="1"/>
  <c r="K7" s="1"/>
  <c r="D5"/>
  <c r="E5" s="1"/>
  <c r="F5" s="1"/>
  <c r="G5" s="1"/>
  <c r="H5" s="1"/>
  <c r="I5" s="1"/>
  <c r="J5" s="1"/>
  <c r="K5" s="1"/>
  <c r="C31"/>
  <c r="D10"/>
  <c r="E10"/>
  <c r="F10" s="1"/>
  <c r="G10" s="1"/>
  <c r="H10" s="1"/>
  <c r="I10" s="1"/>
  <c r="J10" s="1"/>
  <c r="K10" s="1"/>
  <c r="C13"/>
  <c r="C30"/>
  <c r="C12"/>
  <c r="C15" s="1"/>
  <c r="C29" s="1"/>
  <c r="C25"/>
  <c r="C23"/>
  <c r="C16"/>
  <c r="E4" i="52"/>
  <c r="F4" s="1"/>
  <c r="D9"/>
  <c r="E9"/>
  <c r="D6"/>
  <c r="E6"/>
  <c r="F6" s="1"/>
  <c r="G6" s="1"/>
  <c r="H6" s="1"/>
  <c r="I6" s="1"/>
  <c r="J6" s="1"/>
  <c r="K6" s="1"/>
  <c r="D8"/>
  <c r="E8"/>
  <c r="E12" s="1"/>
  <c r="D5"/>
  <c r="E5"/>
  <c r="F5" s="1"/>
  <c r="G5" s="1"/>
  <c r="H5" s="1"/>
  <c r="I5" s="1"/>
  <c r="J5" s="1"/>
  <c r="K5" s="1"/>
  <c r="D7"/>
  <c r="E7"/>
  <c r="F7" s="1"/>
  <c r="G7" s="1"/>
  <c r="H7" s="1"/>
  <c r="I7" s="1"/>
  <c r="J7" s="1"/>
  <c r="K7" s="1"/>
  <c r="D27"/>
  <c r="D34" s="1"/>
  <c r="C27"/>
  <c r="C34" s="1"/>
  <c r="B33"/>
  <c r="D19"/>
  <c r="E19"/>
  <c r="D10"/>
  <c r="E10"/>
  <c r="F10" s="1"/>
  <c r="D13"/>
  <c r="C13"/>
  <c r="C32" s="1"/>
  <c r="D20"/>
  <c r="E20" s="1"/>
  <c r="D18"/>
  <c r="C12"/>
  <c r="C25" s="1"/>
  <c r="D21"/>
  <c r="E21"/>
  <c r="F21" s="1"/>
  <c r="C16"/>
  <c r="J23" i="40"/>
  <c r="I23"/>
  <c r="H23"/>
  <c r="G23"/>
  <c r="F23"/>
  <c r="E23"/>
  <c r="D23"/>
  <c r="C23"/>
  <c r="B23"/>
  <c r="J12"/>
  <c r="I12"/>
  <c r="H12"/>
  <c r="G12"/>
  <c r="F12"/>
  <c r="E12"/>
  <c r="D12"/>
  <c r="C12"/>
  <c r="B12"/>
  <c r="B16" s="1"/>
  <c r="J20"/>
  <c r="I20"/>
  <c r="H20"/>
  <c r="G20"/>
  <c r="F20"/>
  <c r="E20"/>
  <c r="D20"/>
  <c r="C20"/>
  <c r="B20"/>
  <c r="I19"/>
  <c r="G19"/>
  <c r="E19"/>
  <c r="C19"/>
  <c r="D3"/>
  <c r="E3" s="1"/>
  <c r="C17"/>
  <c r="D16"/>
  <c r="C13"/>
  <c r="C14"/>
  <c r="B14"/>
  <c r="C76" i="41"/>
  <c r="D76" s="1"/>
  <c r="C78"/>
  <c r="D78" s="1"/>
  <c r="E78" s="1"/>
  <c r="F78" s="1"/>
  <c r="G78" s="1"/>
  <c r="H78" s="1"/>
  <c r="C77"/>
  <c r="D77" s="1"/>
  <c r="E77" s="1"/>
  <c r="F77" s="1"/>
  <c r="G77" s="1"/>
  <c r="H77" s="1"/>
  <c r="F79"/>
  <c r="G79" s="1"/>
  <c r="H79" s="1"/>
  <c r="C73"/>
  <c r="D73" s="1"/>
  <c r="C74"/>
  <c r="D74" s="1"/>
  <c r="E74" s="1"/>
  <c r="F74" s="1"/>
  <c r="G74" s="1"/>
  <c r="H74" s="1"/>
  <c r="C75"/>
  <c r="D75" s="1"/>
  <c r="E75" s="1"/>
  <c r="F75" s="1"/>
  <c r="G75" s="1"/>
  <c r="H75" s="1"/>
  <c r="D79"/>
  <c r="C79" s="1"/>
  <c r="C82"/>
  <c r="C83"/>
  <c r="B82"/>
  <c r="B83"/>
  <c r="A23"/>
  <c r="A40" s="1"/>
  <c r="A57"/>
  <c r="A75" s="1"/>
  <c r="A22"/>
  <c r="A39" s="1"/>
  <c r="A56"/>
  <c r="A74" s="1"/>
  <c r="C59"/>
  <c r="D59" s="1"/>
  <c r="C61"/>
  <c r="D61" s="1"/>
  <c r="E61" s="1"/>
  <c r="F61" s="1"/>
  <c r="G61" s="1"/>
  <c r="H61" s="1"/>
  <c r="C62"/>
  <c r="D62" s="1"/>
  <c r="E62" s="1"/>
  <c r="F62" s="1"/>
  <c r="G62" s="1"/>
  <c r="H62" s="1"/>
  <c r="C56"/>
  <c r="D56" s="1"/>
  <c r="C57"/>
  <c r="D57" s="1"/>
  <c r="E57" s="1"/>
  <c r="F57" s="1"/>
  <c r="G57" s="1"/>
  <c r="H57" s="1"/>
  <c r="C58"/>
  <c r="D58" s="1"/>
  <c r="C63"/>
  <c r="C66"/>
  <c r="B65"/>
  <c r="B66"/>
  <c r="B69"/>
  <c r="A24"/>
  <c r="A41" s="1"/>
  <c r="A58"/>
  <c r="C44"/>
  <c r="D44" s="1"/>
  <c r="C45"/>
  <c r="D45" s="1"/>
  <c r="C39"/>
  <c r="D39" s="1"/>
  <c r="C40"/>
  <c r="D40" s="1"/>
  <c r="E40" s="1"/>
  <c r="F40" s="1"/>
  <c r="G40" s="1"/>
  <c r="H40" s="1"/>
  <c r="C41"/>
  <c r="D41" s="1"/>
  <c r="E41" s="1"/>
  <c r="F41" s="1"/>
  <c r="G41" s="1"/>
  <c r="H41" s="1"/>
  <c r="C25"/>
  <c r="D25" s="1"/>
  <c r="C27"/>
  <c r="D27" s="1"/>
  <c r="E27" s="1"/>
  <c r="C26"/>
  <c r="D26" s="1"/>
  <c r="E26" s="1"/>
  <c r="C28"/>
  <c r="D28" s="1"/>
  <c r="E28" s="1"/>
  <c r="F28" s="1"/>
  <c r="G28" s="1"/>
  <c r="H28" s="1"/>
  <c r="C22"/>
  <c r="D22" s="1"/>
  <c r="E22" s="1"/>
  <c r="C23"/>
  <c r="D23" s="1"/>
  <c r="C24"/>
  <c r="D24" s="1"/>
  <c r="C31"/>
  <c r="B29"/>
  <c r="B31"/>
  <c r="B33"/>
  <c r="B30"/>
  <c r="B32"/>
  <c r="B34" s="1"/>
  <c r="B36" s="1"/>
  <c r="D21"/>
  <c r="E21"/>
  <c r="F21" s="1"/>
  <c r="G21" s="1"/>
  <c r="H21" s="1"/>
  <c r="C8"/>
  <c r="D8" s="1"/>
  <c r="C10"/>
  <c r="D10" s="1"/>
  <c r="E10" s="1"/>
  <c r="F10" s="1"/>
  <c r="G10" s="1"/>
  <c r="H10" s="1"/>
  <c r="C9"/>
  <c r="D9" s="1"/>
  <c r="E9" s="1"/>
  <c r="F9" s="1"/>
  <c r="G9" s="1"/>
  <c r="H9" s="1"/>
  <c r="C11"/>
  <c r="D11" s="1"/>
  <c r="E11" s="1"/>
  <c r="F11" s="1"/>
  <c r="G11" s="1"/>
  <c r="H11" s="1"/>
  <c r="C6"/>
  <c r="D6" s="1"/>
  <c r="E6" s="1"/>
  <c r="F6" s="1"/>
  <c r="G6" s="1"/>
  <c r="H6" s="1"/>
  <c r="C7"/>
  <c r="D7" s="1"/>
  <c r="E7" s="1"/>
  <c r="F7" s="1"/>
  <c r="G7" s="1"/>
  <c r="H7" s="1"/>
  <c r="B12"/>
  <c r="B13"/>
  <c r="C4"/>
  <c r="D4" s="1"/>
  <c r="E4" s="1"/>
  <c r="F4" s="1"/>
  <c r="G4" s="1"/>
  <c r="H4" s="1"/>
  <c r="B10" i="42"/>
  <c r="B13"/>
  <c r="B15"/>
  <c r="B14"/>
  <c r="B16"/>
  <c r="B18" s="1"/>
  <c r="C3" i="36"/>
  <c r="D3"/>
  <c r="E3" s="1"/>
  <c r="C4"/>
  <c r="D4" s="1"/>
  <c r="E4" s="1"/>
  <c r="F4" s="1"/>
  <c r="G4" s="1"/>
  <c r="H4" s="1"/>
  <c r="I4" s="1"/>
  <c r="J4" s="1"/>
  <c r="C18"/>
  <c r="B18"/>
  <c r="J16"/>
  <c r="J15" s="1"/>
  <c r="J17" s="1"/>
  <c r="J11" s="1"/>
  <c r="C9"/>
  <c r="D9"/>
  <c r="E9" s="1"/>
  <c r="F9" s="1"/>
  <c r="C16"/>
  <c r="C15" s="1"/>
  <c r="C17" s="1"/>
  <c r="B16"/>
  <c r="B15"/>
  <c r="B17" s="1"/>
  <c r="C13"/>
  <c r="B13"/>
  <c r="A11"/>
  <c r="B17" i="37"/>
  <c r="B15"/>
  <c r="B14" s="1"/>
  <c r="B16" s="1"/>
  <c r="B13" s="1"/>
  <c r="B12"/>
  <c r="C6" i="38"/>
  <c r="D6" s="1"/>
  <c r="C10"/>
  <c r="D10" s="1"/>
  <c r="E10" s="1"/>
  <c r="F10" s="1"/>
  <c r="C11"/>
  <c r="D11"/>
  <c r="E11" s="1"/>
  <c r="F11" s="1"/>
  <c r="G11" s="1"/>
  <c r="C12"/>
  <c r="D12" s="1"/>
  <c r="E12" s="1"/>
  <c r="F12" s="1"/>
  <c r="G12" s="1"/>
  <c r="C7"/>
  <c r="D7"/>
  <c r="E7" s="1"/>
  <c r="C8"/>
  <c r="D8" s="1"/>
  <c r="E8" s="1"/>
  <c r="C9"/>
  <c r="D9" s="1"/>
  <c r="E9" s="1"/>
  <c r="F9" s="1"/>
  <c r="G9" s="1"/>
  <c r="B14"/>
  <c r="B19"/>
  <c r="B18" s="1"/>
  <c r="B20" s="1"/>
  <c r="C3"/>
  <c r="D3" s="1"/>
  <c r="E3" s="1"/>
  <c r="C4"/>
  <c r="D4"/>
  <c r="B5"/>
  <c r="B16" s="1"/>
  <c r="B15"/>
  <c r="B17" s="1"/>
  <c r="C3" i="29"/>
  <c r="D3" s="1"/>
  <c r="E3" s="1"/>
  <c r="C4"/>
  <c r="D4"/>
  <c r="E4" s="1"/>
  <c r="F4" s="1"/>
  <c r="G4" s="1"/>
  <c r="H4" s="1"/>
  <c r="I4" s="1"/>
  <c r="J4" s="1"/>
  <c r="C6"/>
  <c r="D6"/>
  <c r="C10"/>
  <c r="D10"/>
  <c r="C11"/>
  <c r="D11"/>
  <c r="E11" s="1"/>
  <c r="F11" s="1"/>
  <c r="G11" s="1"/>
  <c r="H11" s="1"/>
  <c r="I11" s="1"/>
  <c r="J11" s="1"/>
  <c r="C12"/>
  <c r="D12"/>
  <c r="E12" s="1"/>
  <c r="F12" s="1"/>
  <c r="G12" s="1"/>
  <c r="H12" s="1"/>
  <c r="I12" s="1"/>
  <c r="J12" s="1"/>
  <c r="C7"/>
  <c r="D7"/>
  <c r="E7" s="1"/>
  <c r="C8"/>
  <c r="D8" s="1"/>
  <c r="E8" s="1"/>
  <c r="F8" s="1"/>
  <c r="G8" s="1"/>
  <c r="H8" s="1"/>
  <c r="I8" s="1"/>
  <c r="J8" s="1"/>
  <c r="C9"/>
  <c r="D9" s="1"/>
  <c r="E9" s="1"/>
  <c r="F9" s="1"/>
  <c r="G9" s="1"/>
  <c r="H9" s="1"/>
  <c r="I9" s="1"/>
  <c r="J9" s="1"/>
  <c r="C5"/>
  <c r="B5"/>
  <c r="B14"/>
  <c r="B19"/>
  <c r="B18" s="1"/>
  <c r="A21"/>
  <c r="B14" i="30"/>
  <c r="B19"/>
  <c r="B18" s="1"/>
  <c r="B20" s="1"/>
  <c r="B22" s="1"/>
  <c r="B5"/>
  <c r="B15" s="1"/>
  <c r="B17" s="1"/>
  <c r="B14" i="32"/>
  <c r="B12"/>
  <c r="B10"/>
  <c r="C8" i="33"/>
  <c r="D8" s="1"/>
  <c r="E8" s="1"/>
  <c r="C9"/>
  <c r="D9"/>
  <c r="E9" s="1"/>
  <c r="F9" s="1"/>
  <c r="G9" s="1"/>
  <c r="H9" s="1"/>
  <c r="I9" s="1"/>
  <c r="J9" s="1"/>
  <c r="C7"/>
  <c r="D7"/>
  <c r="E7" s="1"/>
  <c r="C5"/>
  <c r="D5" s="1"/>
  <c r="E5" s="1"/>
  <c r="C16"/>
  <c r="C14" s="1"/>
  <c r="B16"/>
  <c r="B14" s="1"/>
  <c r="B15" s="1"/>
  <c r="A26"/>
  <c r="A25"/>
  <c r="A24"/>
  <c r="C12"/>
  <c r="B12"/>
  <c r="J17" i="16"/>
  <c r="I17"/>
  <c r="H17"/>
  <c r="G17"/>
  <c r="F17"/>
  <c r="E17"/>
  <c r="D17"/>
  <c r="C17"/>
  <c r="B17"/>
  <c r="C7"/>
  <c r="D7"/>
  <c r="E7" s="1"/>
  <c r="C12"/>
  <c r="C15" s="1"/>
  <c r="B12"/>
  <c r="B15" s="1"/>
  <c r="B13"/>
  <c r="A18" i="17"/>
  <c r="A17"/>
  <c r="C9"/>
  <c r="D9" s="1"/>
  <c r="B16"/>
  <c r="B15"/>
  <c r="B12" i="18"/>
  <c r="B16" s="1"/>
  <c r="B15"/>
  <c r="A14" i="20"/>
  <c r="A13"/>
  <c r="E8"/>
  <c r="F8"/>
  <c r="G8" s="1"/>
  <c r="H8" s="1"/>
  <c r="I8" s="1"/>
  <c r="J8" s="1"/>
  <c r="K8" s="1"/>
  <c r="L8" s="1"/>
  <c r="C2"/>
  <c r="D2"/>
  <c r="E2" s="1"/>
  <c r="D4"/>
  <c r="C3"/>
  <c r="C4"/>
  <c r="C5" s="1"/>
  <c r="B3"/>
  <c r="B4"/>
  <c r="B5"/>
  <c r="A10" i="21"/>
  <c r="B7"/>
  <c r="B4" s="1"/>
  <c r="E6"/>
  <c r="F6"/>
  <c r="G6" s="1"/>
  <c r="H6" s="1"/>
  <c r="I6" s="1"/>
  <c r="J6" s="1"/>
  <c r="K6" s="1"/>
  <c r="L6" s="1"/>
  <c r="M6" s="1"/>
  <c r="N6" s="1"/>
  <c r="B2"/>
  <c r="C2"/>
  <c r="A10" i="22"/>
  <c r="A9"/>
  <c r="E5"/>
  <c r="F5"/>
  <c r="G5" s="1"/>
  <c r="H5" s="1"/>
  <c r="I5" s="1"/>
  <c r="J5" s="1"/>
  <c r="K5" s="1"/>
  <c r="L5" s="1"/>
  <c r="M5" s="1"/>
  <c r="N5" s="1"/>
  <c r="B2"/>
  <c r="C2"/>
  <c r="D2" s="1"/>
  <c r="C3"/>
  <c r="C4" s="1"/>
  <c r="B3"/>
  <c r="B4" s="1"/>
  <c r="A10" i="23"/>
  <c r="E6"/>
  <c r="F6" s="1"/>
  <c r="G6" s="1"/>
  <c r="H6" s="1"/>
  <c r="I6" s="1"/>
  <c r="J6" s="1"/>
  <c r="K6" s="1"/>
  <c r="L6" s="1"/>
  <c r="M6" s="1"/>
  <c r="N6" s="1"/>
  <c r="C2"/>
  <c r="D2" s="1"/>
  <c r="C4"/>
  <c r="B3"/>
  <c r="B4"/>
  <c r="B5" s="1"/>
  <c r="B7" i="24"/>
  <c r="C4" s="1"/>
  <c r="C5" s="1"/>
  <c r="E6"/>
  <c r="F6"/>
  <c r="G6" s="1"/>
  <c r="H6" s="1"/>
  <c r="I6" s="1"/>
  <c r="J6" s="1"/>
  <c r="K6" s="1"/>
  <c r="L6" s="1"/>
  <c r="M6" s="1"/>
  <c r="N6" s="1"/>
  <c r="A10" i="25"/>
  <c r="B7"/>
  <c r="E6"/>
  <c r="F6"/>
  <c r="G6" s="1"/>
  <c r="H6" s="1"/>
  <c r="I6" s="1"/>
  <c r="J6" s="1"/>
  <c r="K6" s="1"/>
  <c r="L6" s="1"/>
  <c r="M6" s="1"/>
  <c r="N6" s="1"/>
  <c r="B3"/>
  <c r="C3"/>
  <c r="B8" i="27"/>
  <c r="B12"/>
  <c r="B14" s="1"/>
  <c r="B13"/>
  <c r="B15" s="1"/>
  <c r="A16" i="28"/>
  <c r="B15" i="8"/>
  <c r="B16"/>
  <c r="B18" s="1"/>
  <c r="B12" s="1"/>
  <c r="B17"/>
  <c r="B13"/>
  <c r="C1" i="9"/>
  <c r="D1"/>
  <c r="E1" s="1"/>
  <c r="C2"/>
  <c r="D2" s="1"/>
  <c r="E2" s="1"/>
  <c r="F2" s="1"/>
  <c r="G2" s="1"/>
  <c r="H2" s="1"/>
  <c r="I2" s="1"/>
  <c r="J2" s="1"/>
  <c r="K2" s="1"/>
  <c r="L2" s="1"/>
  <c r="M2" s="1"/>
  <c r="N2" s="1"/>
  <c r="C3"/>
  <c r="D3" s="1"/>
  <c r="E3" s="1"/>
  <c r="F3" s="1"/>
  <c r="G3" s="1"/>
  <c r="H3" s="1"/>
  <c r="I3" s="1"/>
  <c r="J3" s="1"/>
  <c r="K3" s="1"/>
  <c r="L3" s="1"/>
  <c r="M3" s="1"/>
  <c r="N3" s="1"/>
  <c r="C4"/>
  <c r="D4" s="1"/>
  <c r="E4" s="1"/>
  <c r="F4" s="1"/>
  <c r="G4" s="1"/>
  <c r="H4" s="1"/>
  <c r="I4" s="1"/>
  <c r="J4" s="1"/>
  <c r="K4" s="1"/>
  <c r="L4" s="1"/>
  <c r="M4" s="1"/>
  <c r="N4" s="1"/>
  <c r="C5"/>
  <c r="D5" s="1"/>
  <c r="E5" s="1"/>
  <c r="F5" s="1"/>
  <c r="G5" s="1"/>
  <c r="H5" s="1"/>
  <c r="I5" s="1"/>
  <c r="J5" s="1"/>
  <c r="K5" s="1"/>
  <c r="L5" s="1"/>
  <c r="M5" s="1"/>
  <c r="N5" s="1"/>
  <c r="C9"/>
  <c r="C10" s="1"/>
  <c r="C12" s="1"/>
  <c r="B9"/>
  <c r="B10"/>
  <c r="B12" s="1"/>
  <c r="B6" s="1"/>
  <c r="B11"/>
  <c r="C7"/>
  <c r="B7"/>
  <c r="C1" i="10"/>
  <c r="D1" s="1"/>
  <c r="E1" s="1"/>
  <c r="C2"/>
  <c r="D2"/>
  <c r="E2" s="1"/>
  <c r="F2" s="1"/>
  <c r="G2" s="1"/>
  <c r="H2" s="1"/>
  <c r="I2" s="1"/>
  <c r="J2" s="1"/>
  <c r="K2" s="1"/>
  <c r="L2" s="1"/>
  <c r="M2" s="1"/>
  <c r="N2" s="1"/>
  <c r="C3"/>
  <c r="D3"/>
  <c r="E3" s="1"/>
  <c r="F3" s="1"/>
  <c r="G3" s="1"/>
  <c r="H3" s="1"/>
  <c r="I3" s="1"/>
  <c r="J3" s="1"/>
  <c r="K3" s="1"/>
  <c r="L3" s="1"/>
  <c r="M3" s="1"/>
  <c r="N3" s="1"/>
  <c r="C4"/>
  <c r="D4"/>
  <c r="E4" s="1"/>
  <c r="F4" s="1"/>
  <c r="G4" s="1"/>
  <c r="H4" s="1"/>
  <c r="I4" s="1"/>
  <c r="J4" s="1"/>
  <c r="K4" s="1"/>
  <c r="L4" s="1"/>
  <c r="M4" s="1"/>
  <c r="N4" s="1"/>
  <c r="C5"/>
  <c r="D5"/>
  <c r="E5" s="1"/>
  <c r="F5" s="1"/>
  <c r="G5" s="1"/>
  <c r="H5" s="1"/>
  <c r="I5" s="1"/>
  <c r="J5" s="1"/>
  <c r="K5" s="1"/>
  <c r="L5" s="1"/>
  <c r="M5" s="1"/>
  <c r="N5" s="1"/>
  <c r="B9"/>
  <c r="B10" s="1"/>
  <c r="B12" s="1"/>
  <c r="B11"/>
  <c r="B6" s="1"/>
  <c r="B7"/>
  <c r="F6" i="11"/>
  <c r="C5"/>
  <c r="C9"/>
  <c r="F7"/>
  <c r="F8" s="1"/>
  <c r="C11"/>
  <c r="D3" i="14"/>
  <c r="E3"/>
  <c r="B4"/>
  <c r="C4"/>
  <c r="D4" s="1"/>
  <c r="C5"/>
  <c r="D5" s="1"/>
  <c r="E5" s="1"/>
  <c r="F5" s="1"/>
  <c r="G5" s="1"/>
  <c r="H5" s="1"/>
  <c r="I5" s="1"/>
  <c r="J5" s="1"/>
  <c r="K5" s="1"/>
  <c r="L5" s="1"/>
  <c r="M5" s="1"/>
  <c r="N5" s="1"/>
  <c r="B6"/>
  <c r="C6" s="1"/>
  <c r="D6" s="1"/>
  <c r="E6" s="1"/>
  <c r="F6" s="1"/>
  <c r="G6" s="1"/>
  <c r="H6" s="1"/>
  <c r="I6" s="1"/>
  <c r="J6" s="1"/>
  <c r="K6" s="1"/>
  <c r="L6" s="1"/>
  <c r="M6" s="1"/>
  <c r="N6" s="1"/>
  <c r="B7"/>
  <c r="C7"/>
  <c r="D7" s="1"/>
  <c r="E7" s="1"/>
  <c r="F7" s="1"/>
  <c r="G7" s="1"/>
  <c r="H7" s="1"/>
  <c r="I7" s="1"/>
  <c r="J7" s="1"/>
  <c r="K7" s="1"/>
  <c r="L7" s="1"/>
  <c r="M7" s="1"/>
  <c r="N7" s="1"/>
  <c r="B11"/>
  <c r="B12" s="1"/>
  <c r="B14" s="1"/>
  <c r="B9"/>
  <c r="D3" i="15"/>
  <c r="E3"/>
  <c r="F3" s="1"/>
  <c r="G3" s="1"/>
  <c r="B4"/>
  <c r="C4" s="1"/>
  <c r="E27" i="1"/>
  <c r="E13"/>
  <c r="E12"/>
  <c r="C1" i="3"/>
  <c r="D1" s="1"/>
  <c r="B6"/>
  <c r="B2"/>
  <c r="C6"/>
  <c r="C2"/>
  <c r="D6"/>
  <c r="E6"/>
  <c r="F6"/>
  <c r="G6"/>
  <c r="H6"/>
  <c r="I6"/>
  <c r="J6"/>
  <c r="K6"/>
  <c r="L6"/>
  <c r="M6"/>
  <c r="N6"/>
  <c r="O6"/>
  <c r="P6"/>
  <c r="B8"/>
  <c r="C8"/>
  <c r="D8"/>
  <c r="E8"/>
  <c r="F8"/>
  <c r="G8"/>
  <c r="H8"/>
  <c r="I8"/>
  <c r="J8"/>
  <c r="K8"/>
  <c r="L8"/>
  <c r="M8"/>
  <c r="N8"/>
  <c r="O8"/>
  <c r="P8"/>
  <c r="B19"/>
  <c r="B18" s="1"/>
  <c r="C19"/>
  <c r="C18" s="1"/>
  <c r="D19"/>
  <c r="D18" s="1"/>
  <c r="E19"/>
  <c r="E18"/>
  <c r="F19"/>
  <c r="F18" s="1"/>
  <c r="G19"/>
  <c r="G18" s="1"/>
  <c r="H19"/>
  <c r="H27" s="1"/>
  <c r="H9" s="1"/>
  <c r="H28" s="1"/>
  <c r="I19"/>
  <c r="I18"/>
  <c r="J19"/>
  <c r="J18" s="1"/>
  <c r="K19"/>
  <c r="K18" s="1"/>
  <c r="L19"/>
  <c r="L27" s="1"/>
  <c r="L9" s="1"/>
  <c r="L28" s="1"/>
  <c r="M19"/>
  <c r="M18"/>
  <c r="N19"/>
  <c r="N18" s="1"/>
  <c r="O19"/>
  <c r="O18" s="1"/>
  <c r="P19"/>
  <c r="P27" s="1"/>
  <c r="P9" s="1"/>
  <c r="P28" s="1"/>
  <c r="B22"/>
  <c r="C22"/>
  <c r="C23" s="1"/>
  <c r="C25" s="1"/>
  <c r="B23"/>
  <c r="B24"/>
  <c r="B21" s="1"/>
  <c r="B25"/>
  <c r="B27"/>
  <c r="B9" s="1"/>
  <c r="D27"/>
  <c r="D9" s="1"/>
  <c r="D28" s="1"/>
  <c r="F27"/>
  <c r="F9" s="1"/>
  <c r="F28" s="1"/>
  <c r="J27"/>
  <c r="J9" s="1"/>
  <c r="J28" s="1"/>
  <c r="N27"/>
  <c r="N9" s="1"/>
  <c r="N28" s="1"/>
  <c r="B33"/>
  <c r="D33"/>
  <c r="E33"/>
  <c r="F33"/>
  <c r="H33"/>
  <c r="I33"/>
  <c r="J33"/>
  <c r="L33"/>
  <c r="M33"/>
  <c r="N33"/>
  <c r="P33"/>
  <c r="B34"/>
  <c r="C34"/>
  <c r="D34"/>
  <c r="E34"/>
  <c r="F34"/>
  <c r="G34"/>
  <c r="H34"/>
  <c r="I34"/>
  <c r="J34"/>
  <c r="K34"/>
  <c r="L34"/>
  <c r="M34"/>
  <c r="N34"/>
  <c r="O34"/>
  <c r="P34"/>
  <c r="B35"/>
  <c r="B31" s="1"/>
  <c r="B32" s="1"/>
  <c r="C35"/>
  <c r="D35"/>
  <c r="D31" s="1"/>
  <c r="D32" s="1"/>
  <c r="E35"/>
  <c r="E31"/>
  <c r="E32" s="1"/>
  <c r="F35"/>
  <c r="F31" s="1"/>
  <c r="F32" s="1"/>
  <c r="G35"/>
  <c r="H35"/>
  <c r="H31" s="1"/>
  <c r="H32" s="1"/>
  <c r="I35"/>
  <c r="I31"/>
  <c r="I32" s="1"/>
  <c r="J35"/>
  <c r="J31" s="1"/>
  <c r="J32" s="1"/>
  <c r="K35"/>
  <c r="L35"/>
  <c r="L31" s="1"/>
  <c r="L32" s="1"/>
  <c r="M35"/>
  <c r="M31"/>
  <c r="M32" s="1"/>
  <c r="N35"/>
  <c r="N31" s="1"/>
  <c r="N32" s="1"/>
  <c r="O35"/>
  <c r="P35"/>
  <c r="P31" s="1"/>
  <c r="P32" s="1"/>
  <c r="B36"/>
  <c r="C36"/>
  <c r="C37" s="1"/>
  <c r="D36"/>
  <c r="E36"/>
  <c r="E37"/>
  <c r="E30" s="1"/>
  <c r="E41" s="1"/>
  <c r="F36"/>
  <c r="G36"/>
  <c r="G37" s="1"/>
  <c r="H36"/>
  <c r="I36"/>
  <c r="I37"/>
  <c r="I30" s="1"/>
  <c r="I41" s="1"/>
  <c r="J36"/>
  <c r="K36"/>
  <c r="K37" s="1"/>
  <c r="L36"/>
  <c r="M36"/>
  <c r="M37"/>
  <c r="M30" s="1"/>
  <c r="M41" s="1"/>
  <c r="N36"/>
  <c r="O36"/>
  <c r="O37" s="1"/>
  <c r="P36"/>
  <c r="B37"/>
  <c r="B30"/>
  <c r="B41" s="1"/>
  <c r="D37"/>
  <c r="D30" s="1"/>
  <c r="D41" s="1"/>
  <c r="F37"/>
  <c r="F30"/>
  <c r="F41" s="1"/>
  <c r="H37"/>
  <c r="H30" s="1"/>
  <c r="H41" s="1"/>
  <c r="J37"/>
  <c r="J30"/>
  <c r="J41" s="1"/>
  <c r="L37"/>
  <c r="L30" s="1"/>
  <c r="L41" s="1"/>
  <c r="N37"/>
  <c r="N30"/>
  <c r="N41" s="1"/>
  <c r="P37"/>
  <c r="P30" s="1"/>
  <c r="P41" s="1"/>
  <c r="B38"/>
  <c r="C38"/>
  <c r="C39" s="1"/>
  <c r="D38"/>
  <c r="E38"/>
  <c r="E39"/>
  <c r="F38"/>
  <c r="G38"/>
  <c r="G39" s="1"/>
  <c r="H38"/>
  <c r="I38"/>
  <c r="I39"/>
  <c r="J38"/>
  <c r="K38"/>
  <c r="K39" s="1"/>
  <c r="L38"/>
  <c r="M38"/>
  <c r="M39"/>
  <c r="N38"/>
  <c r="O38"/>
  <c r="O39" s="1"/>
  <c r="P38"/>
  <c r="B39"/>
  <c r="D39"/>
  <c r="F39"/>
  <c r="H39"/>
  <c r="J39"/>
  <c r="L39"/>
  <c r="N39"/>
  <c r="P39"/>
  <c r="B24" i="54"/>
  <c r="B16"/>
  <c r="B19"/>
  <c r="C4" i="21"/>
  <c r="D2"/>
  <c r="C3"/>
  <c r="C5" s="1"/>
  <c r="D12" i="33"/>
  <c r="B13" i="32"/>
  <c r="B20"/>
  <c r="E6" i="29"/>
  <c r="E4" i="38"/>
  <c r="F4"/>
  <c r="G4" s="1"/>
  <c r="D5"/>
  <c r="F8"/>
  <c r="G8" s="1"/>
  <c r="D19"/>
  <c r="D18" s="1"/>
  <c r="E14"/>
  <c r="E6"/>
  <c r="B11" i="37"/>
  <c r="E16" i="36"/>
  <c r="E15" s="1"/>
  <c r="E17"/>
  <c r="J14"/>
  <c r="E25" i="41"/>
  <c r="E73"/>
  <c r="O27" i="3"/>
  <c r="O9"/>
  <c r="O28" s="1"/>
  <c r="M27"/>
  <c r="M9" s="1"/>
  <c r="M28" s="1"/>
  <c r="K27"/>
  <c r="K9"/>
  <c r="K28" s="1"/>
  <c r="I27"/>
  <c r="I9" s="1"/>
  <c r="I28" s="1"/>
  <c r="G27"/>
  <c r="G9"/>
  <c r="G28" s="1"/>
  <c r="E27"/>
  <c r="E9" s="1"/>
  <c r="E28" s="1"/>
  <c r="C27"/>
  <c r="C9"/>
  <c r="D11" i="14"/>
  <c r="F3"/>
  <c r="F1" i="10"/>
  <c r="E9"/>
  <c r="E7"/>
  <c r="F1" i="9"/>
  <c r="E9"/>
  <c r="E7"/>
  <c r="C4" i="25"/>
  <c r="D3"/>
  <c r="C5"/>
  <c r="E12" i="16"/>
  <c r="F7"/>
  <c r="B13" i="33"/>
  <c r="B25"/>
  <c r="B20"/>
  <c r="B19"/>
  <c r="B11"/>
  <c r="B24"/>
  <c r="B21"/>
  <c r="C15"/>
  <c r="C11" s="1"/>
  <c r="C22"/>
  <c r="F7"/>
  <c r="F8"/>
  <c r="E16"/>
  <c r="E14" s="1"/>
  <c r="F7" i="29"/>
  <c r="E19"/>
  <c r="E18"/>
  <c r="E10"/>
  <c r="D14"/>
  <c r="D20" s="1"/>
  <c r="D16" s="1"/>
  <c r="D21" s="1"/>
  <c r="F3"/>
  <c r="E5"/>
  <c r="E5" i="38"/>
  <c r="F3"/>
  <c r="F7"/>
  <c r="E19"/>
  <c r="E18"/>
  <c r="B11" i="36"/>
  <c r="B14"/>
  <c r="B12" s="1"/>
  <c r="C14"/>
  <c r="C12" s="1"/>
  <c r="C11"/>
  <c r="F3"/>
  <c r="E18"/>
  <c r="E13"/>
  <c r="E58" i="41"/>
  <c r="F58" s="1"/>
  <c r="G58" s="1"/>
  <c r="H58" s="1"/>
  <c r="C17" i="11"/>
  <c r="C13"/>
  <c r="B14"/>
  <c r="C22" i="40"/>
  <c r="C16"/>
  <c r="C15" s="1"/>
  <c r="E22"/>
  <c r="E16"/>
  <c r="G22"/>
  <c r="I22"/>
  <c r="C15" i="52"/>
  <c r="C31" s="1"/>
  <c r="C26"/>
  <c r="E18"/>
  <c r="F4" i="56"/>
  <c r="E33"/>
  <c r="B22" i="40"/>
  <c r="B19"/>
  <c r="B17"/>
  <c r="D22"/>
  <c r="D19"/>
  <c r="D17"/>
  <c r="F22"/>
  <c r="F19"/>
  <c r="H22"/>
  <c r="H19"/>
  <c r="J22"/>
  <c r="J19"/>
  <c r="F19" i="52"/>
  <c r="F8"/>
  <c r="E13"/>
  <c r="E32" s="1"/>
  <c r="F9"/>
  <c r="E27"/>
  <c r="E13" i="56"/>
  <c r="E30" s="1"/>
  <c r="E12"/>
  <c r="F8"/>
  <c r="B15" i="55"/>
  <c r="B16"/>
  <c r="G13" i="49"/>
  <c r="C9" i="14"/>
  <c r="B13"/>
  <c r="B8"/>
  <c r="C11"/>
  <c r="C7" i="11"/>
  <c r="D7" i="10"/>
  <c r="D9"/>
  <c r="D7" i="9"/>
  <c r="C11"/>
  <c r="C6" s="1"/>
  <c r="D9"/>
  <c r="B4" i="25"/>
  <c r="B5"/>
  <c r="C3" i="23"/>
  <c r="C5"/>
  <c r="B3" i="21"/>
  <c r="B5"/>
  <c r="D3" i="20"/>
  <c r="D5" s="1"/>
  <c r="B13" i="18"/>
  <c r="B14"/>
  <c r="D15" i="17"/>
  <c r="D12" i="16"/>
  <c r="C21" i="33"/>
  <c r="B22"/>
  <c r="D16"/>
  <c r="D14" s="1"/>
  <c r="B16" i="30"/>
  <c r="B15" i="29"/>
  <c r="B17"/>
  <c r="C14"/>
  <c r="C15" s="1"/>
  <c r="C17" s="1"/>
  <c r="D19"/>
  <c r="D18"/>
  <c r="D5"/>
  <c r="C5" i="38"/>
  <c r="C14"/>
  <c r="D14"/>
  <c r="D20"/>
  <c r="D13" i="36"/>
  <c r="D16"/>
  <c r="D15" s="1"/>
  <c r="D17" s="1"/>
  <c r="D18"/>
  <c r="B19" i="42"/>
  <c r="C13" i="41"/>
  <c r="C12"/>
  <c r="B35"/>
  <c r="C32"/>
  <c r="C29"/>
  <c r="C33" s="1"/>
  <c r="B86"/>
  <c r="C86"/>
  <c r="E26" i="52"/>
  <c r="B22" i="55"/>
  <c r="D2"/>
  <c r="D10" s="1"/>
  <c r="C17"/>
  <c r="D11" i="49"/>
  <c r="C18"/>
  <c r="E11" i="66"/>
  <c r="D17"/>
  <c r="B17" i="65"/>
  <c r="B18"/>
  <c r="F12" i="55"/>
  <c r="E13"/>
  <c r="D16" i="52"/>
  <c r="C28"/>
  <c r="D12"/>
  <c r="D32"/>
  <c r="D33"/>
  <c r="D13" i="56"/>
  <c r="D33"/>
  <c r="C31" i="51"/>
  <c r="C33"/>
  <c r="C35"/>
  <c r="C17" i="49"/>
  <c r="C19" s="1"/>
  <c r="C20" s="1"/>
  <c r="D17"/>
  <c r="B18" i="31"/>
  <c r="B20"/>
  <c r="B9"/>
  <c r="B14" i="28"/>
  <c r="B13"/>
  <c r="B15" s="1"/>
  <c r="C17" i="66"/>
  <c r="B19" i="65"/>
  <c r="B23"/>
  <c r="E17" i="77"/>
  <c r="C18" i="31"/>
  <c r="C20"/>
  <c r="E3"/>
  <c r="D16"/>
  <c r="D20"/>
  <c r="D9"/>
  <c r="D21"/>
  <c r="B26" i="54"/>
  <c r="B17"/>
  <c r="B23" i="77"/>
  <c r="E6" i="31"/>
  <c r="C16"/>
  <c r="C9"/>
  <c r="D12"/>
  <c r="D2" i="24"/>
  <c r="B4"/>
  <c r="B5" s="1"/>
  <c r="B7" i="75"/>
  <c r="B22" s="1"/>
  <c r="B43" i="2"/>
  <c r="B49" s="1"/>
  <c r="D13" i="78"/>
  <c r="E9"/>
  <c r="D14"/>
  <c r="B23" i="50"/>
  <c r="B24"/>
  <c r="B14" s="1"/>
  <c r="B18"/>
  <c r="B11" s="1"/>
  <c r="B16"/>
  <c r="B10"/>
  <c r="B27" i="2"/>
  <c r="B25" s="1"/>
  <c r="B6" s="1"/>
  <c r="B37"/>
  <c r="B38"/>
  <c r="B29" s="1"/>
  <c r="B12" i="78"/>
  <c r="D12"/>
  <c r="F12"/>
  <c r="H12"/>
  <c r="J12"/>
  <c r="L12"/>
  <c r="N12"/>
  <c r="P12"/>
  <c r="R12"/>
  <c r="T12"/>
  <c r="V12"/>
  <c r="X12"/>
  <c r="C14"/>
  <c r="C10" s="1"/>
  <c r="D3" i="24"/>
  <c r="E2"/>
  <c r="E21" i="31"/>
  <c r="F3"/>
  <c r="D31" i="56"/>
  <c r="D32"/>
  <c r="D24" i="52"/>
  <c r="D15"/>
  <c r="D26"/>
  <c r="E22" i="55"/>
  <c r="F11" i="66"/>
  <c r="E17"/>
  <c r="D18" i="49"/>
  <c r="E11"/>
  <c r="E2" i="55"/>
  <c r="E17" s="1"/>
  <c r="D17"/>
  <c r="D15" i="29"/>
  <c r="D17"/>
  <c r="D15" i="16"/>
  <c r="D13"/>
  <c r="D10" i="9"/>
  <c r="D12" s="1"/>
  <c r="D11"/>
  <c r="D6" s="1"/>
  <c r="C19" i="11"/>
  <c r="B18" s="1"/>
  <c r="C15"/>
  <c r="B18" i="55"/>
  <c r="B25" s="1"/>
  <c r="B21"/>
  <c r="B23" s="1"/>
  <c r="B26" s="1"/>
  <c r="E25" i="56"/>
  <c r="E23"/>
  <c r="E26"/>
  <c r="E24"/>
  <c r="E34" i="52"/>
  <c r="E33"/>
  <c r="G19"/>
  <c r="G4" i="56"/>
  <c r="F33"/>
  <c r="F18" i="52"/>
  <c r="E25"/>
  <c r="G3" i="36"/>
  <c r="F18"/>
  <c r="F13"/>
  <c r="G3" i="38"/>
  <c r="G5" s="1"/>
  <c r="G15" s="1"/>
  <c r="G17" s="1"/>
  <c r="F5"/>
  <c r="G7" i="33"/>
  <c r="C19"/>
  <c r="C13"/>
  <c r="C25"/>
  <c r="C20"/>
  <c r="G7" i="16"/>
  <c r="F12"/>
  <c r="E10" i="9"/>
  <c r="E12" s="1"/>
  <c r="E6" s="1"/>
  <c r="E11"/>
  <c r="E10" i="10"/>
  <c r="E12"/>
  <c r="E11"/>
  <c r="D12" i="14"/>
  <c r="D14" s="1"/>
  <c r="D8" s="1"/>
  <c r="D13"/>
  <c r="C28" i="3"/>
  <c r="C26" s="1"/>
  <c r="C5" s="1"/>
  <c r="F73" i="41"/>
  <c r="F25"/>
  <c r="G9" i="36"/>
  <c r="F16"/>
  <c r="F15" s="1"/>
  <c r="F17" s="1"/>
  <c r="F6" i="38"/>
  <c r="E20"/>
  <c r="F5" i="33"/>
  <c r="E12"/>
  <c r="D10" i="78"/>
  <c r="C12" i="31"/>
  <c r="E16" i="56"/>
  <c r="D23" i="52"/>
  <c r="F9" i="78"/>
  <c r="E14"/>
  <c r="E13"/>
  <c r="E11"/>
  <c r="D33" i="31"/>
  <c r="E19"/>
  <c r="E17" s="1"/>
  <c r="F6"/>
  <c r="F19"/>
  <c r="F17" s="1"/>
  <c r="B30" i="54"/>
  <c r="B27"/>
  <c r="B23"/>
  <c r="B25" s="1"/>
  <c r="B18"/>
  <c r="B20"/>
  <c r="D16" i="56"/>
  <c r="D30"/>
  <c r="F13" i="55"/>
  <c r="G12"/>
  <c r="B25" i="65"/>
  <c r="B20"/>
  <c r="B27"/>
  <c r="C35" i="41"/>
  <c r="C15" i="38"/>
  <c r="C17"/>
  <c r="D10" i="10"/>
  <c r="D12"/>
  <c r="D11"/>
  <c r="C12" i="14"/>
  <c r="C14" s="1"/>
  <c r="C8" s="1"/>
  <c r="C13"/>
  <c r="G8" i="56"/>
  <c r="F13"/>
  <c r="F16"/>
  <c r="F12"/>
  <c r="F15"/>
  <c r="F29" s="1"/>
  <c r="G9" i="52"/>
  <c r="G8"/>
  <c r="E32" i="56"/>
  <c r="E31"/>
  <c r="G7" i="38"/>
  <c r="G19"/>
  <c r="F19"/>
  <c r="F18"/>
  <c r="F20" s="1"/>
  <c r="F16" s="1"/>
  <c r="E16"/>
  <c r="E15"/>
  <c r="E17" s="1"/>
  <c r="G3" i="29"/>
  <c r="F5"/>
  <c r="F10"/>
  <c r="E14"/>
  <c r="E15"/>
  <c r="E17" s="1"/>
  <c r="G7"/>
  <c r="F19"/>
  <c r="G8" i="33"/>
  <c r="F16"/>
  <c r="F14"/>
  <c r="F15" s="1"/>
  <c r="B26"/>
  <c r="B18"/>
  <c r="E15" i="16"/>
  <c r="E13"/>
  <c r="E3" i="25"/>
  <c r="D4"/>
  <c r="D5"/>
  <c r="G1" i="9"/>
  <c r="F9"/>
  <c r="F7"/>
  <c r="G1" i="10"/>
  <c r="H1" s="1"/>
  <c r="F9"/>
  <c r="F7"/>
  <c r="G3" i="14"/>
  <c r="E14" i="36"/>
  <c r="E11"/>
  <c r="G10" i="38"/>
  <c r="G14"/>
  <c r="F14"/>
  <c r="D15"/>
  <c r="D17" s="1"/>
  <c r="D16"/>
  <c r="F6" i="29"/>
  <c r="E20"/>
  <c r="E16" s="1"/>
  <c r="E21" s="1"/>
  <c r="E2" i="21"/>
  <c r="D3"/>
  <c r="D4"/>
  <c r="H3" i="15"/>
  <c r="B16" i="31"/>
  <c r="B10"/>
  <c r="C13" s="1"/>
  <c r="C14" s="1"/>
  <c r="D19" i="49"/>
  <c r="D20"/>
  <c r="E15" i="56"/>
  <c r="E29"/>
  <c r="D25" i="52"/>
  <c r="E12" i="36"/>
  <c r="B9" i="32"/>
  <c r="B19"/>
  <c r="B11"/>
  <c r="I3" i="15"/>
  <c r="E4" i="21"/>
  <c r="F2"/>
  <c r="E3"/>
  <c r="E5" s="1"/>
  <c r="G6" i="29"/>
  <c r="H3" i="14"/>
  <c r="G9" i="10"/>
  <c r="H1" i="9"/>
  <c r="G9"/>
  <c r="G7"/>
  <c r="F22" i="33"/>
  <c r="H8" i="52"/>
  <c r="H9"/>
  <c r="H12" i="55"/>
  <c r="G13"/>
  <c r="F13" i="78"/>
  <c r="G9"/>
  <c r="F14"/>
  <c r="F11"/>
  <c r="F12" i="33"/>
  <c r="G5"/>
  <c r="G6" i="38"/>
  <c r="H9" i="36"/>
  <c r="G16"/>
  <c r="G15"/>
  <c r="G17" s="1"/>
  <c r="F15" i="16"/>
  <c r="F13"/>
  <c r="C26" i="33"/>
  <c r="H7"/>
  <c r="G18" i="52"/>
  <c r="H4" i="56"/>
  <c r="G33"/>
  <c r="F2" i="55"/>
  <c r="E10"/>
  <c r="G11" i="66"/>
  <c r="F17"/>
  <c r="D31" i="52"/>
  <c r="D28"/>
  <c r="E3" i="24"/>
  <c r="F2"/>
  <c r="F18" i="29"/>
  <c r="D6" i="10"/>
  <c r="E10" i="78"/>
  <c r="D30" i="52" a="1"/>
  <c r="D30" s="1"/>
  <c r="E6" i="10"/>
  <c r="F30" i="56"/>
  <c r="F10" i="10"/>
  <c r="F12"/>
  <c r="F11"/>
  <c r="F6"/>
  <c r="F10" i="9"/>
  <c r="F12"/>
  <c r="F11"/>
  <c r="F6"/>
  <c r="E4" i="25"/>
  <c r="F3"/>
  <c r="F4" s="1"/>
  <c r="F5" s="1"/>
  <c r="E5"/>
  <c r="H8" i="33"/>
  <c r="I8" s="1"/>
  <c r="I16" s="1"/>
  <c r="G16"/>
  <c r="G14"/>
  <c r="H7" i="29"/>
  <c r="G19"/>
  <c r="G10"/>
  <c r="F14"/>
  <c r="F20" s="1"/>
  <c r="F16" s="1"/>
  <c r="F21" s="1"/>
  <c r="H3"/>
  <c r="I3" s="1"/>
  <c r="G5"/>
  <c r="F26" i="56"/>
  <c r="F24"/>
  <c r="F25"/>
  <c r="F23"/>
  <c r="G13"/>
  <c r="G30" s="1"/>
  <c r="G12"/>
  <c r="H8"/>
  <c r="F22" i="55"/>
  <c r="F17"/>
  <c r="C33" i="31"/>
  <c r="G25" i="41"/>
  <c r="G73"/>
  <c r="G12" i="16"/>
  <c r="G13" s="1"/>
  <c r="H7"/>
  <c r="F15" i="38"/>
  <c r="F17" s="1"/>
  <c r="H3" i="36"/>
  <c r="G18"/>
  <c r="G13"/>
  <c r="F31" i="56"/>
  <c r="F32"/>
  <c r="H19" i="52"/>
  <c r="F11" i="49"/>
  <c r="E18"/>
  <c r="E17"/>
  <c r="E19"/>
  <c r="E20" s="1"/>
  <c r="F21" i="31"/>
  <c r="D4" i="24"/>
  <c r="D5" s="1"/>
  <c r="G18" i="38"/>
  <c r="E28" i="56" a="1"/>
  <c r="E28" s="1"/>
  <c r="F18" i="49"/>
  <c r="G11"/>
  <c r="F17"/>
  <c r="F19"/>
  <c r="F20" s="1"/>
  <c r="I19" i="52"/>
  <c r="I7" i="16"/>
  <c r="H12"/>
  <c r="I8" i="56"/>
  <c r="H13"/>
  <c r="H16" s="1"/>
  <c r="H12"/>
  <c r="H15" s="1"/>
  <c r="H29" s="1"/>
  <c r="H5" i="29"/>
  <c r="H10"/>
  <c r="G14"/>
  <c r="G15" s="1"/>
  <c r="I7"/>
  <c r="H19"/>
  <c r="H16" i="33"/>
  <c r="H14" s="1"/>
  <c r="G3" i="25"/>
  <c r="G4" s="1"/>
  <c r="E4" i="24"/>
  <c r="E5" s="1"/>
  <c r="G17" i="66"/>
  <c r="G2" i="55"/>
  <c r="F10"/>
  <c r="I4" i="56"/>
  <c r="H33"/>
  <c r="H18" i="52"/>
  <c r="I7" i="33"/>
  <c r="H5"/>
  <c r="G12"/>
  <c r="I8" i="52"/>
  <c r="G10" i="9"/>
  <c r="G12" s="1"/>
  <c r="G11"/>
  <c r="G10" i="10"/>
  <c r="G12"/>
  <c r="G11"/>
  <c r="I3" i="14"/>
  <c r="H6" i="29"/>
  <c r="I6" s="1"/>
  <c r="J3" i="15"/>
  <c r="G16" i="56"/>
  <c r="F10" i="78"/>
  <c r="F15" i="29"/>
  <c r="F17" s="1"/>
  <c r="I3" i="36"/>
  <c r="H18"/>
  <c r="H13"/>
  <c r="G15" i="16"/>
  <c r="H73" i="41"/>
  <c r="H25"/>
  <c r="C34" i="31"/>
  <c r="G25" i="56"/>
  <c r="G23"/>
  <c r="G26"/>
  <c r="G24"/>
  <c r="G17" i="29"/>
  <c r="G15" i="33"/>
  <c r="G21"/>
  <c r="G22"/>
  <c r="F3" i="24"/>
  <c r="F4" s="1"/>
  <c r="G2"/>
  <c r="E15" i="55"/>
  <c r="G32" i="56"/>
  <c r="G31"/>
  <c r="I9" i="36"/>
  <c r="I16"/>
  <c r="I15" s="1"/>
  <c r="I17" s="1"/>
  <c r="H16"/>
  <c r="H15"/>
  <c r="H17" s="1"/>
  <c r="H11" s="1"/>
  <c r="H9" i="78"/>
  <c r="G14"/>
  <c r="G13"/>
  <c r="G11"/>
  <c r="I12" i="55"/>
  <c r="H13"/>
  <c r="I9" i="52"/>
  <c r="J9" s="1"/>
  <c r="I1" i="9"/>
  <c r="H9"/>
  <c r="H7"/>
  <c r="H9" i="10"/>
  <c r="H10" s="1"/>
  <c r="H12" s="1"/>
  <c r="G2" i="21"/>
  <c r="H2" s="1"/>
  <c r="F3"/>
  <c r="F4"/>
  <c r="F28" i="56" a="1"/>
  <c r="F28" s="1"/>
  <c r="G18" i="29"/>
  <c r="G15" i="56"/>
  <c r="G29"/>
  <c r="G20" i="38"/>
  <c r="G16"/>
  <c r="E21" i="55"/>
  <c r="E23" s="1"/>
  <c r="E26" s="1"/>
  <c r="F5" i="24"/>
  <c r="K3" i="15"/>
  <c r="J3" i="14"/>
  <c r="J8" i="52"/>
  <c r="J4" i="56"/>
  <c r="I33"/>
  <c r="H2" i="55"/>
  <c r="H22" s="1"/>
  <c r="G10"/>
  <c r="H3" i="25"/>
  <c r="J8" i="33"/>
  <c r="I14"/>
  <c r="J7" i="29"/>
  <c r="J19"/>
  <c r="I19"/>
  <c r="I10"/>
  <c r="H14"/>
  <c r="J3"/>
  <c r="J5" s="1"/>
  <c r="I5"/>
  <c r="I12" i="16"/>
  <c r="J7"/>
  <c r="J12"/>
  <c r="G28" i="56" a="1"/>
  <c r="G28" s="1"/>
  <c r="G4" i="21"/>
  <c r="G3"/>
  <c r="I9" i="9"/>
  <c r="J12" i="55"/>
  <c r="I13"/>
  <c r="H11" i="10"/>
  <c r="H10" i="9"/>
  <c r="H12" s="1"/>
  <c r="H11"/>
  <c r="H6" s="1"/>
  <c r="I9" i="78"/>
  <c r="H11"/>
  <c r="H14" i="36"/>
  <c r="G3" i="24"/>
  <c r="H2"/>
  <c r="G19" i="33"/>
  <c r="G13"/>
  <c r="G25"/>
  <c r="G20"/>
  <c r="J3" i="36"/>
  <c r="I18"/>
  <c r="I13"/>
  <c r="H12" i="33"/>
  <c r="I5"/>
  <c r="J7"/>
  <c r="I18" i="52"/>
  <c r="H31" i="56"/>
  <c r="H32"/>
  <c r="F15" i="55"/>
  <c r="F16"/>
  <c r="H15" i="29"/>
  <c r="H17" s="1"/>
  <c r="H26" i="56"/>
  <c r="H24"/>
  <c r="H25"/>
  <c r="H23"/>
  <c r="I13"/>
  <c r="I30" s="1"/>
  <c r="I12"/>
  <c r="J8"/>
  <c r="H15" i="16"/>
  <c r="H13"/>
  <c r="J19" i="52"/>
  <c r="K19" s="1"/>
  <c r="G18" i="49"/>
  <c r="G19" s="1"/>
  <c r="G20" s="1"/>
  <c r="G17"/>
  <c r="F5" i="21"/>
  <c r="G10" i="78"/>
  <c r="E16" i="55"/>
  <c r="E18"/>
  <c r="E25" s="1"/>
  <c r="G6" i="10"/>
  <c r="G6" i="9"/>
  <c r="G22" i="55"/>
  <c r="G17"/>
  <c r="G11" i="33"/>
  <c r="G24"/>
  <c r="H18" i="29"/>
  <c r="H20"/>
  <c r="H16" s="1"/>
  <c r="H21" s="1"/>
  <c r="I23" i="56"/>
  <c r="I24"/>
  <c r="J5" i="33"/>
  <c r="I12"/>
  <c r="J6" i="29"/>
  <c r="J18" i="36"/>
  <c r="J12"/>
  <c r="J13"/>
  <c r="G26" i="33"/>
  <c r="G18"/>
  <c r="G4" i="24"/>
  <c r="G5" s="1"/>
  <c r="J9" i="78"/>
  <c r="I14"/>
  <c r="I13"/>
  <c r="I11"/>
  <c r="J13" i="55"/>
  <c r="K12"/>
  <c r="I10" i="9"/>
  <c r="I12"/>
  <c r="I11"/>
  <c r="I2" i="21"/>
  <c r="H3"/>
  <c r="H4"/>
  <c r="I15" i="16"/>
  <c r="I13"/>
  <c r="I15" i="33"/>
  <c r="I11"/>
  <c r="I24" s="1"/>
  <c r="I22"/>
  <c r="I2" i="55"/>
  <c r="H10"/>
  <c r="I32" i="56"/>
  <c r="I31"/>
  <c r="K8" i="52"/>
  <c r="K3" i="14"/>
  <c r="L3" i="15"/>
  <c r="H28" i="56" a="1"/>
  <c r="H28" s="1"/>
  <c r="I18" i="29"/>
  <c r="I15" i="56"/>
  <c r="I29"/>
  <c r="K8"/>
  <c r="J13"/>
  <c r="J12"/>
  <c r="F18" i="55"/>
  <c r="F25"/>
  <c r="F21"/>
  <c r="F23"/>
  <c r="F26" s="1"/>
  <c r="J18" i="52"/>
  <c r="H3" i="24"/>
  <c r="I2"/>
  <c r="I17" i="55"/>
  <c r="I22"/>
  <c r="J13" i="16"/>
  <c r="J15"/>
  <c r="J10" i="29"/>
  <c r="J14"/>
  <c r="J15" s="1"/>
  <c r="J17" s="1"/>
  <c r="I14"/>
  <c r="I20"/>
  <c r="I16" s="1"/>
  <c r="I21" s="1"/>
  <c r="I3" i="25"/>
  <c r="H4"/>
  <c r="H5" s="1"/>
  <c r="G15" i="55"/>
  <c r="G16" s="1"/>
  <c r="K4" i="56"/>
  <c r="J33"/>
  <c r="J15"/>
  <c r="J29" s="1"/>
  <c r="J16"/>
  <c r="J30"/>
  <c r="J18" i="29"/>
  <c r="J16" i="33"/>
  <c r="J14"/>
  <c r="I16" i="56"/>
  <c r="J31"/>
  <c r="J32"/>
  <c r="I4" i="25"/>
  <c r="J3"/>
  <c r="J4" s="1"/>
  <c r="I5"/>
  <c r="H4" i="24"/>
  <c r="H5" s="1"/>
  <c r="J26" i="56"/>
  <c r="J24"/>
  <c r="J25"/>
  <c r="J23"/>
  <c r="J28" a="1"/>
  <c r="J28" s="1"/>
  <c r="K13"/>
  <c r="K12"/>
  <c r="L3" i="14"/>
  <c r="H15" i="55"/>
  <c r="I4" i="21"/>
  <c r="I5" s="1"/>
  <c r="J2"/>
  <c r="I3"/>
  <c r="J12" i="33"/>
  <c r="I15" i="29"/>
  <c r="I17" s="1"/>
  <c r="J15" i="33"/>
  <c r="J22"/>
  <c r="K33" i="56"/>
  <c r="K32" s="1"/>
  <c r="K16"/>
  <c r="G21" i="55"/>
  <c r="G18"/>
  <c r="G25" s="1"/>
  <c r="G23"/>
  <c r="G26" s="1"/>
  <c r="I3" i="24"/>
  <c r="J2"/>
  <c r="K2" s="1"/>
  <c r="L2" s="1"/>
  <c r="L3" s="1"/>
  <c r="L4" s="1"/>
  <c r="K18" i="52"/>
  <c r="M3" i="15"/>
  <c r="J2" i="55"/>
  <c r="I10"/>
  <c r="I19" i="33"/>
  <c r="I18" s="1"/>
  <c r="I13"/>
  <c r="I25"/>
  <c r="I20"/>
  <c r="L12" i="55"/>
  <c r="L13" s="1"/>
  <c r="K13"/>
  <c r="J13" i="78"/>
  <c r="K9"/>
  <c r="J14"/>
  <c r="J11"/>
  <c r="H5" i="21"/>
  <c r="I6" i="9"/>
  <c r="I10" i="78"/>
  <c r="J20" i="29"/>
  <c r="J16" s="1"/>
  <c r="J21"/>
  <c r="I21" i="33"/>
  <c r="L9" i="78"/>
  <c r="K14"/>
  <c r="K13"/>
  <c r="K10" s="1"/>
  <c r="K11"/>
  <c r="I15" i="55"/>
  <c r="N3" i="15"/>
  <c r="J3" i="24"/>
  <c r="J13" i="33"/>
  <c r="J25"/>
  <c r="J20"/>
  <c r="J19"/>
  <c r="M3" i="14"/>
  <c r="K23" i="56"/>
  <c r="K24"/>
  <c r="I26" i="33"/>
  <c r="K2" i="55"/>
  <c r="K10" s="1"/>
  <c r="K15" s="1"/>
  <c r="I4" i="24"/>
  <c r="I5" s="1"/>
  <c r="K31" i="56"/>
  <c r="J3" i="21"/>
  <c r="K3" i="25"/>
  <c r="L3" s="1"/>
  <c r="L4" s="1"/>
  <c r="J5"/>
  <c r="J21" i="33"/>
  <c r="J10" i="78"/>
  <c r="K15" i="56"/>
  <c r="K29" s="1"/>
  <c r="J11" i="33"/>
  <c r="J24" s="1"/>
  <c r="J17" i="55"/>
  <c r="L2"/>
  <c r="L10" s="1"/>
  <c r="L15" s="1"/>
  <c r="J26" i="33"/>
  <c r="J4" i="24"/>
  <c r="I21" i="55"/>
  <c r="I23" s="1"/>
  <c r="I26" s="1"/>
  <c r="L13" i="78"/>
  <c r="L10" s="1"/>
  <c r="L14"/>
  <c r="K4" i="25"/>
  <c r="K5" s="1"/>
  <c r="K3" i="24"/>
  <c r="K4" s="1"/>
  <c r="K17" i="55"/>
  <c r="I16"/>
  <c r="M2" i="24"/>
  <c r="M3" s="1"/>
  <c r="M3" i="25"/>
  <c r="N3" s="1"/>
  <c r="L5"/>
  <c r="K16" i="55"/>
  <c r="K5" i="24"/>
  <c r="L22" i="55"/>
  <c r="L16"/>
  <c r="M4" i="25"/>
  <c r="M5" s="1"/>
  <c r="L5" i="24"/>
  <c r="K21" i="55"/>
  <c r="N2" i="24"/>
  <c r="N3" s="1"/>
  <c r="N4"/>
  <c r="N4" i="25"/>
  <c r="M4" i="24"/>
  <c r="L23" i="55"/>
  <c r="L26" s="1"/>
  <c r="L21"/>
  <c r="Y12" i="78" l="1"/>
  <c r="D11"/>
  <c r="S12"/>
  <c r="W12"/>
  <c r="D5" i="21"/>
  <c r="B5" i="15"/>
  <c r="H40" i="96"/>
  <c r="H39"/>
  <c r="H41" s="1"/>
  <c r="I41" a="1"/>
  <c r="I41" s="1"/>
  <c r="H41" i="93"/>
  <c r="F2" i="80"/>
  <c r="E4"/>
  <c r="E2" i="81"/>
  <c r="N3" i="14"/>
  <c r="M9" i="78"/>
  <c r="L11"/>
  <c r="L17" i="55"/>
  <c r="L18"/>
  <c r="L25" s="1"/>
  <c r="J22"/>
  <c r="J10"/>
  <c r="K2" i="21"/>
  <c r="J4"/>
  <c r="H21" i="55"/>
  <c r="H23" s="1"/>
  <c r="H26" s="1"/>
  <c r="H16"/>
  <c r="H18" s="1"/>
  <c r="H25" s="1"/>
  <c r="K30" i="56"/>
  <c r="K25"/>
  <c r="K28" s="1" a="1"/>
  <c r="K28" s="1"/>
  <c r="K26"/>
  <c r="N5" i="24"/>
  <c r="N5" i="25"/>
  <c r="J5" i="21"/>
  <c r="J18" i="33"/>
  <c r="K22" i="55"/>
  <c r="K23"/>
  <c r="K26" s="1"/>
  <c r="K18"/>
  <c r="K25" s="1"/>
  <c r="I14" i="36"/>
  <c r="I11"/>
  <c r="M5" i="24"/>
  <c r="J5"/>
  <c r="I18" i="55"/>
  <c r="I25" s="1"/>
  <c r="J1" i="9"/>
  <c r="I7"/>
  <c r="H13" i="78"/>
  <c r="H10" s="1"/>
  <c r="H14"/>
  <c r="G14" i="36"/>
  <c r="G12" s="1"/>
  <c r="G11"/>
  <c r="C15" i="31"/>
  <c r="I1" i="10"/>
  <c r="H7"/>
  <c r="H6"/>
  <c r="F18" i="31"/>
  <c r="F20" s="1"/>
  <c r="F9"/>
  <c r="E18"/>
  <c r="E16" s="1"/>
  <c r="E9"/>
  <c r="F11" i="36"/>
  <c r="F14"/>
  <c r="F12" s="1"/>
  <c r="D15" i="55"/>
  <c r="D16" s="1"/>
  <c r="D22" i="33"/>
  <c r="D21"/>
  <c r="D15"/>
  <c r="D11"/>
  <c r="D24" s="1"/>
  <c r="E22"/>
  <c r="E21"/>
  <c r="E15"/>
  <c r="E11"/>
  <c r="E24" s="1"/>
  <c r="C24"/>
  <c r="C18"/>
  <c r="I26" i="56"/>
  <c r="I25"/>
  <c r="I28" s="1" a="1"/>
  <c r="I28" s="1"/>
  <c r="G5" i="21"/>
  <c r="H17" i="55"/>
  <c r="H12" i="36"/>
  <c r="B10" i="28"/>
  <c r="H15" i="33"/>
  <c r="H22"/>
  <c r="F13"/>
  <c r="F25" s="1"/>
  <c r="F20"/>
  <c r="F19"/>
  <c r="D14" i="36"/>
  <c r="D11"/>
  <c r="D12"/>
  <c r="I12"/>
  <c r="B26" i="3"/>
  <c r="B5" s="1"/>
  <c r="B28"/>
  <c r="B29"/>
  <c r="B4" s="1"/>
  <c r="B3"/>
  <c r="D22"/>
  <c r="D26"/>
  <c r="D5" s="1"/>
  <c r="D2"/>
  <c r="E1"/>
  <c r="D4" i="15"/>
  <c r="C5"/>
  <c r="D4" i="23"/>
  <c r="D3"/>
  <c r="E2"/>
  <c r="E2" i="22"/>
  <c r="D3"/>
  <c r="D4" s="1"/>
  <c r="E9" i="17"/>
  <c r="D16"/>
  <c r="C80" i="41"/>
  <c r="C84" s="1"/>
  <c r="B79"/>
  <c r="G5" i="25"/>
  <c r="G20" i="29"/>
  <c r="G16" s="1"/>
  <c r="G21" s="1"/>
  <c r="H30" i="56"/>
  <c r="C10" i="31"/>
  <c r="F21" i="33"/>
  <c r="F11"/>
  <c r="F24" s="1"/>
  <c r="G7" i="10"/>
  <c r="D22" i="55"/>
  <c r="E16" i="52"/>
  <c r="K30" i="3"/>
  <c r="C30"/>
  <c r="B10" i="27"/>
  <c r="B19" s="1"/>
  <c r="B20" i="29"/>
  <c r="B16" s="1"/>
  <c r="B21" s="1"/>
  <c r="B18" i="32"/>
  <c r="B17"/>
  <c r="B16" s="1"/>
  <c r="D9" i="14"/>
  <c r="E4"/>
  <c r="F2" i="20"/>
  <c r="E4"/>
  <c r="E3"/>
  <c r="E5" s="1"/>
  <c r="D30" i="41"/>
  <c r="D29"/>
  <c r="F3" i="40"/>
  <c r="E17"/>
  <c r="E15" s="1"/>
  <c r="E13"/>
  <c r="E14"/>
  <c r="O30" i="3"/>
  <c r="G30"/>
  <c r="C37" i="51"/>
  <c r="C34"/>
  <c r="C30"/>
  <c r="C18"/>
  <c r="C18" i="66"/>
  <c r="C19" s="1"/>
  <c r="C20" s="1"/>
  <c r="D10"/>
  <c r="B7" i="76"/>
  <c r="C15"/>
  <c r="C23" s="1"/>
  <c r="P18" i="3"/>
  <c r="L18"/>
  <c r="H18"/>
  <c r="B37" i="41"/>
  <c r="B31" i="2"/>
  <c r="E3" i="51"/>
  <c r="D19"/>
  <c r="D18"/>
  <c r="D17"/>
  <c r="C15" i="55"/>
  <c r="C16" s="1"/>
  <c r="O33" i="3"/>
  <c r="O31" s="1"/>
  <c r="O32" s="1"/>
  <c r="K33"/>
  <c r="K31" s="1"/>
  <c r="K32" s="1"/>
  <c r="G33"/>
  <c r="G31" s="1"/>
  <c r="G32" s="1"/>
  <c r="C33"/>
  <c r="C31" s="1"/>
  <c r="C32" s="1"/>
  <c r="C24"/>
  <c r="C21" s="1"/>
  <c r="C7" i="10"/>
  <c r="C9"/>
  <c r="C14" i="17"/>
  <c r="C15"/>
  <c r="C16"/>
  <c r="C13" i="16"/>
  <c r="C19" i="29"/>
  <c r="C18" s="1"/>
  <c r="C20" s="1"/>
  <c r="C16" s="1"/>
  <c r="C21" s="1"/>
  <c r="C19" i="38"/>
  <c r="C18" s="1"/>
  <c r="C20" s="1"/>
  <c r="C16" s="1"/>
  <c r="C30" i="41"/>
  <c r="C34" s="1"/>
  <c r="C36" s="1"/>
  <c r="C37" s="1"/>
  <c r="C65"/>
  <c r="C69" s="1"/>
  <c r="C85"/>
  <c r="C81"/>
  <c r="D14" i="40"/>
  <c r="B13"/>
  <c r="B15" s="1"/>
  <c r="D13"/>
  <c r="D15" s="1"/>
  <c r="C24" i="52"/>
  <c r="C33"/>
  <c r="C24" i="56"/>
  <c r="C26"/>
  <c r="D12"/>
  <c r="C36" i="51"/>
  <c r="C19"/>
  <c r="C43" i="41"/>
  <c r="B21" i="2"/>
  <c r="C101" i="41"/>
  <c r="C105" s="1"/>
  <c r="C102"/>
  <c r="D98"/>
  <c r="C104"/>
  <c r="D42"/>
  <c r="B106"/>
  <c r="B18" i="66"/>
  <c r="B19" s="1"/>
  <c r="B20" s="1"/>
  <c r="B22" i="77"/>
  <c r="B27" s="1"/>
  <c r="C17" i="51"/>
  <c r="D97" i="41"/>
  <c r="C108"/>
  <c r="C106"/>
  <c r="B29" i="54"/>
  <c r="B17" i="42"/>
  <c r="B63" i="41"/>
  <c r="B67" s="1"/>
  <c r="B64"/>
  <c r="D104"/>
  <c r="D108"/>
  <c r="D109"/>
  <c r="E97"/>
  <c r="F97" s="1"/>
  <c r="B102"/>
  <c r="E20" i="77"/>
  <c r="E21" s="1"/>
  <c r="E23" s="1"/>
  <c r="B68" i="41"/>
  <c r="B70" s="1"/>
  <c r="B71" s="1"/>
  <c r="D13"/>
  <c r="D12"/>
  <c r="E8"/>
  <c r="E24"/>
  <c r="F24" s="1"/>
  <c r="G24" s="1"/>
  <c r="H24" s="1"/>
  <c r="D32"/>
  <c r="E32"/>
  <c r="F22"/>
  <c r="F26"/>
  <c r="E29"/>
  <c r="E30"/>
  <c r="F27"/>
  <c r="E34"/>
  <c r="E45"/>
  <c r="F45" s="1"/>
  <c r="G45" s="1"/>
  <c r="H45" s="1"/>
  <c r="D82"/>
  <c r="D86" s="1"/>
  <c r="D83"/>
  <c r="D80"/>
  <c r="D81"/>
  <c r="D85" s="1"/>
  <c r="E76"/>
  <c r="D84"/>
  <c r="E5"/>
  <c r="D34"/>
  <c r="E23"/>
  <c r="F23" s="1"/>
  <c r="G23" s="1"/>
  <c r="H23" s="1"/>
  <c r="D31"/>
  <c r="D35" s="1"/>
  <c r="D48"/>
  <c r="D52" s="1"/>
  <c r="D49"/>
  <c r="E39"/>
  <c r="E44"/>
  <c r="E56"/>
  <c r="D65"/>
  <c r="D66"/>
  <c r="E59"/>
  <c r="D63"/>
  <c r="D64"/>
  <c r="D68" s="1"/>
  <c r="C49"/>
  <c r="C64"/>
  <c r="C68" s="1"/>
  <c r="C67"/>
  <c r="E14"/>
  <c r="D5"/>
  <c r="E15"/>
  <c r="B20" i="42"/>
  <c r="B21" s="1"/>
  <c r="K9" i="52"/>
  <c r="F20"/>
  <c r="E24"/>
  <c r="E15"/>
  <c r="E23"/>
  <c r="E30" s="1" a="1"/>
  <c r="E30" s="1"/>
  <c r="G21"/>
  <c r="G10"/>
  <c r="F13"/>
  <c r="F12"/>
  <c r="G4"/>
  <c r="F15"/>
  <c r="F31" s="1"/>
  <c r="F32"/>
  <c r="F27"/>
  <c r="F16"/>
  <c r="C23"/>
  <c r="C30" s="1" a="1"/>
  <c r="C30" s="1"/>
  <c r="B14" i="17" l="1"/>
  <c r="D14"/>
  <c r="F4" i="80"/>
  <c r="G2"/>
  <c r="F2" i="81"/>
  <c r="G97" i="41"/>
  <c r="F109"/>
  <c r="F108"/>
  <c r="D43"/>
  <c r="E42"/>
  <c r="E98"/>
  <c r="D15" i="56"/>
  <c r="D29" s="1"/>
  <c r="D25"/>
  <c r="D26"/>
  <c r="D23"/>
  <c r="D24"/>
  <c r="E10" i="66"/>
  <c r="D18"/>
  <c r="D19" s="1"/>
  <c r="D20" s="1"/>
  <c r="G3" i="40"/>
  <c r="F13"/>
  <c r="F14"/>
  <c r="F17"/>
  <c r="F16"/>
  <c r="F15"/>
  <c r="G2" i="20"/>
  <c r="F3"/>
  <c r="F4"/>
  <c r="F5" s="1"/>
  <c r="F9" i="17"/>
  <c r="E16"/>
  <c r="E15"/>
  <c r="E14" s="1"/>
  <c r="F2" i="22"/>
  <c r="E3"/>
  <c r="E4" s="1"/>
  <c r="E13" i="33"/>
  <c r="E25" s="1"/>
  <c r="E20"/>
  <c r="E19"/>
  <c r="D19"/>
  <c r="D13"/>
  <c r="D25" s="1"/>
  <c r="D20"/>
  <c r="I9" i="10"/>
  <c r="J1"/>
  <c r="I7"/>
  <c r="L2" i="21"/>
  <c r="K3"/>
  <c r="K4"/>
  <c r="M14" i="78"/>
  <c r="N9"/>
  <c r="M11"/>
  <c r="M13"/>
  <c r="M10" s="1"/>
  <c r="F25" i="52"/>
  <c r="D33" i="41"/>
  <c r="D36" s="1"/>
  <c r="D37" s="1"/>
  <c r="C28" i="56" a="1"/>
  <c r="C28" s="1"/>
  <c r="B22" i="76"/>
  <c r="G41" i="3"/>
  <c r="C41"/>
  <c r="C87" i="41"/>
  <c r="C88" s="1"/>
  <c r="D5" i="23"/>
  <c r="E20" i="31"/>
  <c r="F16"/>
  <c r="D101" i="41"/>
  <c r="D105" s="1"/>
  <c r="D102"/>
  <c r="B23" i="2"/>
  <c r="B22"/>
  <c r="B24" s="1"/>
  <c r="C10" i="10"/>
  <c r="C12" s="1"/>
  <c r="C11"/>
  <c r="C6" s="1"/>
  <c r="C3" i="3"/>
  <c r="C29"/>
  <c r="C4" s="1"/>
  <c r="C21" i="55"/>
  <c r="C23" s="1"/>
  <c r="C26" s="1"/>
  <c r="C18"/>
  <c r="C25" s="1"/>
  <c r="E19" i="51"/>
  <c r="E18"/>
  <c r="E17"/>
  <c r="F3"/>
  <c r="F4" i="14"/>
  <c r="E9"/>
  <c r="E11"/>
  <c r="D13" i="31"/>
  <c r="D14" s="1"/>
  <c r="B80" i="41"/>
  <c r="B84" s="1"/>
  <c r="B87" s="1"/>
  <c r="B88" s="1"/>
  <c r="B81"/>
  <c r="B85" s="1"/>
  <c r="E3" i="23"/>
  <c r="E4"/>
  <c r="F2"/>
  <c r="D5" i="15"/>
  <c r="E4"/>
  <c r="E2" i="3"/>
  <c r="F1"/>
  <c r="E22"/>
  <c r="E26"/>
  <c r="E5" s="1"/>
  <c r="D23"/>
  <c r="D25" s="1"/>
  <c r="D24"/>
  <c r="D21" s="1"/>
  <c r="F18" i="33"/>
  <c r="F26"/>
  <c r="H21"/>
  <c r="H19"/>
  <c r="H13"/>
  <c r="H25" s="1"/>
  <c r="H20"/>
  <c r="H11"/>
  <c r="H24" s="1"/>
  <c r="D18" i="55"/>
  <c r="D25" s="1"/>
  <c r="D23"/>
  <c r="D26" s="1"/>
  <c r="D21"/>
  <c r="E12" i="31"/>
  <c r="F12"/>
  <c r="J9" i="9"/>
  <c r="K1"/>
  <c r="J7"/>
  <c r="J16" i="55"/>
  <c r="J15"/>
  <c r="D69" i="41"/>
  <c r="C38" i="51" a="1"/>
  <c r="C38" s="1"/>
  <c r="O41" i="3"/>
  <c r="K41"/>
  <c r="E104" i="41"/>
  <c r="E109"/>
  <c r="E108"/>
  <c r="C70"/>
  <c r="C71" s="1"/>
  <c r="C46"/>
  <c r="C48"/>
  <c r="C52" s="1"/>
  <c r="C47"/>
  <c r="C51" s="1"/>
  <c r="E65"/>
  <c r="F56"/>
  <c r="E66"/>
  <c r="E81"/>
  <c r="E80"/>
  <c r="E84" s="1"/>
  <c r="E82"/>
  <c r="F76"/>
  <c r="E83"/>
  <c r="E85" s="1"/>
  <c r="G26"/>
  <c r="F30"/>
  <c r="F29"/>
  <c r="F8"/>
  <c r="E12"/>
  <c r="E13"/>
  <c r="E17" s="1"/>
  <c r="D67"/>
  <c r="D70" s="1"/>
  <c r="D71" s="1"/>
  <c r="E31"/>
  <c r="B46"/>
  <c r="B55" s="1"/>
  <c r="B49"/>
  <c r="B48"/>
  <c r="B47"/>
  <c r="B51" s="1"/>
  <c r="E64"/>
  <c r="E63"/>
  <c r="E67" s="1"/>
  <c r="F59"/>
  <c r="F44"/>
  <c r="F39"/>
  <c r="E49"/>
  <c r="E48"/>
  <c r="G27"/>
  <c r="G22"/>
  <c r="F32"/>
  <c r="F34" s="1"/>
  <c r="F31"/>
  <c r="D87"/>
  <c r="D88" s="1"/>
  <c r="E16"/>
  <c r="E18"/>
  <c r="C5"/>
  <c r="D15"/>
  <c r="D17" s="1"/>
  <c r="D14"/>
  <c r="H4" i="52"/>
  <c r="G27"/>
  <c r="F33"/>
  <c r="F34"/>
  <c r="F28"/>
  <c r="F26"/>
  <c r="F24"/>
  <c r="G13"/>
  <c r="G32" s="1"/>
  <c r="H10"/>
  <c r="G12"/>
  <c r="H21"/>
  <c r="E31"/>
  <c r="E28"/>
  <c r="G20"/>
  <c r="F23"/>
  <c r="H2" i="80" l="1"/>
  <c r="G4"/>
  <c r="G2" i="81"/>
  <c r="E5" i="23"/>
  <c r="J18" i="55"/>
  <c r="J25" s="1"/>
  <c r="J21"/>
  <c r="J23"/>
  <c r="J26" s="1"/>
  <c r="F33" i="31"/>
  <c r="H18" i="33"/>
  <c r="H26"/>
  <c r="E24" i="3"/>
  <c r="E23"/>
  <c r="E25" s="1"/>
  <c r="D34" i="31"/>
  <c r="D15"/>
  <c r="K1" i="10"/>
  <c r="J7"/>
  <c r="J9"/>
  <c r="D18" i="33"/>
  <c r="D26"/>
  <c r="G2" i="22"/>
  <c r="F3"/>
  <c r="F4" s="1"/>
  <c r="G9" i="17"/>
  <c r="F15"/>
  <c r="F14" s="1"/>
  <c r="F16"/>
  <c r="H2" i="20"/>
  <c r="G4"/>
  <c r="G3"/>
  <c r="G5" s="1"/>
  <c r="G17" i="40"/>
  <c r="H3"/>
  <c r="G13"/>
  <c r="G14"/>
  <c r="G16"/>
  <c r="G15"/>
  <c r="F10" i="66"/>
  <c r="E18"/>
  <c r="E19" s="1"/>
  <c r="E20" s="1"/>
  <c r="F42" i="41"/>
  <c r="E43"/>
  <c r="F30" i="52" a="1"/>
  <c r="F30" s="1"/>
  <c r="F35" i="41"/>
  <c r="E68"/>
  <c r="B20" i="2"/>
  <c r="L28" i="56" a="1"/>
  <c r="L28" s="1"/>
  <c r="K5" i="21"/>
  <c r="D28" i="56" a="1"/>
  <c r="D28" s="1"/>
  <c r="D106" i="41"/>
  <c r="K9" i="9"/>
  <c r="L1"/>
  <c r="K7"/>
  <c r="J11"/>
  <c r="J10"/>
  <c r="J12" s="1"/>
  <c r="E33" i="31"/>
  <c r="G33" s="1"/>
  <c r="D3" i="3"/>
  <c r="D29"/>
  <c r="D4" s="1"/>
  <c r="F2"/>
  <c r="F26"/>
  <c r="F5" s="1"/>
  <c r="G1"/>
  <c r="F22"/>
  <c r="F4" i="15"/>
  <c r="E5"/>
  <c r="F4" i="23"/>
  <c r="F3"/>
  <c r="G2"/>
  <c r="E13" i="31"/>
  <c r="E14" s="1"/>
  <c r="E12" i="14"/>
  <c r="E14" s="1"/>
  <c r="E13"/>
  <c r="G4"/>
  <c r="F11"/>
  <c r="F9"/>
  <c r="F19" i="51"/>
  <c r="F18"/>
  <c r="F17"/>
  <c r="G3"/>
  <c r="O9" i="78"/>
  <c r="N11"/>
  <c r="N13"/>
  <c r="N14"/>
  <c r="M2" i="21"/>
  <c r="L3"/>
  <c r="L4"/>
  <c r="I10" i="10"/>
  <c r="I12" s="1"/>
  <c r="I11"/>
  <c r="E26" i="33"/>
  <c r="E18"/>
  <c r="F98" i="41"/>
  <c r="E102"/>
  <c r="E101"/>
  <c r="E105" s="1"/>
  <c r="D46"/>
  <c r="D47"/>
  <c r="D51" s="1"/>
  <c r="H97"/>
  <c r="G108"/>
  <c r="G109"/>
  <c r="C50"/>
  <c r="C55"/>
  <c r="E47"/>
  <c r="E51" s="1"/>
  <c r="E46"/>
  <c r="E55" s="1"/>
  <c r="E52"/>
  <c r="B50"/>
  <c r="B53" s="1"/>
  <c r="C53"/>
  <c r="C54" s="1"/>
  <c r="H22"/>
  <c r="G32"/>
  <c r="G31"/>
  <c r="F48"/>
  <c r="F49"/>
  <c r="G39"/>
  <c r="G44"/>
  <c r="G59"/>
  <c r="F64"/>
  <c r="F63"/>
  <c r="F67" s="1"/>
  <c r="F12"/>
  <c r="G8"/>
  <c r="F13"/>
  <c r="F15"/>
  <c r="F14"/>
  <c r="E19"/>
  <c r="E20" s="1"/>
  <c r="F33"/>
  <c r="F36" s="1"/>
  <c r="F37" s="1"/>
  <c r="E70"/>
  <c r="E86"/>
  <c r="E69"/>
  <c r="H27"/>
  <c r="G34"/>
  <c r="E35"/>
  <c r="E33"/>
  <c r="E36" s="1"/>
  <c r="E37" s="1"/>
  <c r="H26"/>
  <c r="G29"/>
  <c r="G33" s="1"/>
  <c r="G36" s="1"/>
  <c r="G30"/>
  <c r="F81"/>
  <c r="F83"/>
  <c r="F80"/>
  <c r="G76"/>
  <c r="F82"/>
  <c r="F86" s="1"/>
  <c r="F65"/>
  <c r="G56"/>
  <c r="F66"/>
  <c r="B52"/>
  <c r="E87"/>
  <c r="E88" s="1"/>
  <c r="D18"/>
  <c r="D16"/>
  <c r="D19" s="1"/>
  <c r="C14"/>
  <c r="C15"/>
  <c r="C17" s="1"/>
  <c r="B5"/>
  <c r="I21" i="52"/>
  <c r="G26"/>
  <c r="G24"/>
  <c r="G34"/>
  <c r="G33"/>
  <c r="I4"/>
  <c r="H27"/>
  <c r="H20"/>
  <c r="G23"/>
  <c r="I10"/>
  <c r="H13"/>
  <c r="H32" s="1"/>
  <c r="H12"/>
  <c r="G16"/>
  <c r="G25"/>
  <c r="G15"/>
  <c r="G31" s="1"/>
  <c r="L5" i="21" l="1"/>
  <c r="H4" i="80"/>
  <c r="I2"/>
  <c r="H2" i="81"/>
  <c r="E34" i="31"/>
  <c r="E15"/>
  <c r="H108" i="41"/>
  <c r="H109"/>
  <c r="D55"/>
  <c r="D50"/>
  <c r="D53" s="1"/>
  <c r="D54" s="1"/>
  <c r="G98"/>
  <c r="F101"/>
  <c r="F104"/>
  <c r="F102"/>
  <c r="N2" i="21"/>
  <c r="M3"/>
  <c r="M4"/>
  <c r="O14" i="78"/>
  <c r="O13"/>
  <c r="O10" s="1"/>
  <c r="O11"/>
  <c r="P9"/>
  <c r="G19" i="51"/>
  <c r="G18"/>
  <c r="G17"/>
  <c r="H3"/>
  <c r="F12" i="14"/>
  <c r="F14" s="1"/>
  <c r="F13"/>
  <c r="F8" s="1"/>
  <c r="F13" i="31"/>
  <c r="F14" s="1"/>
  <c r="F34" s="1"/>
  <c r="F23" i="3"/>
  <c r="F25" s="1"/>
  <c r="F24"/>
  <c r="K10" i="9"/>
  <c r="K12" s="1"/>
  <c r="K11"/>
  <c r="K6" s="1"/>
  <c r="B28" i="2"/>
  <c r="B5" s="1"/>
  <c r="B4"/>
  <c r="G10" i="66"/>
  <c r="G18" s="1"/>
  <c r="G19" s="1"/>
  <c r="G20" s="1"/>
  <c r="F18"/>
  <c r="F19" s="1"/>
  <c r="F20" s="1"/>
  <c r="I2" i="20"/>
  <c r="H3"/>
  <c r="H4"/>
  <c r="H5" s="1"/>
  <c r="H9" i="17"/>
  <c r="G16"/>
  <c r="G15"/>
  <c r="G14" s="1"/>
  <c r="G3" i="22"/>
  <c r="G4" s="1"/>
  <c r="H2"/>
  <c r="L1" i="10"/>
  <c r="K7"/>
  <c r="K9"/>
  <c r="G28" i="52"/>
  <c r="F85" i="41"/>
  <c r="F68"/>
  <c r="G35"/>
  <c r="G37" s="1"/>
  <c r="I6" i="10"/>
  <c r="N10" i="78"/>
  <c r="E8" i="14"/>
  <c r="F5" i="23"/>
  <c r="J6" i="9"/>
  <c r="G34" i="31"/>
  <c r="E21" i="3"/>
  <c r="G11" i="14"/>
  <c r="H4"/>
  <c r="G9"/>
  <c r="H2" i="23"/>
  <c r="G4"/>
  <c r="G3"/>
  <c r="F5" i="15"/>
  <c r="G4"/>
  <c r="H1" i="3"/>
  <c r="G22"/>
  <c r="G2"/>
  <c r="G26"/>
  <c r="G5" s="1"/>
  <c r="M1" i="9"/>
  <c r="L7"/>
  <c r="L9"/>
  <c r="G42" i="41"/>
  <c r="F43"/>
  <c r="I3" i="40"/>
  <c r="H14"/>
  <c r="H13"/>
  <c r="H16"/>
  <c r="H17"/>
  <c r="H15" s="1"/>
  <c r="J11" i="10"/>
  <c r="J6" s="1"/>
  <c r="J10"/>
  <c r="J12" s="1"/>
  <c r="E106" i="41"/>
  <c r="F46"/>
  <c r="F50" s="1"/>
  <c r="F47"/>
  <c r="F51" s="1"/>
  <c r="E50"/>
  <c r="E53" s="1"/>
  <c r="E54" s="1"/>
  <c r="F70"/>
  <c r="G66"/>
  <c r="G65"/>
  <c r="H56"/>
  <c r="H30"/>
  <c r="H29"/>
  <c r="G13"/>
  <c r="G15"/>
  <c r="H8"/>
  <c r="G12"/>
  <c r="G14"/>
  <c r="H59"/>
  <c r="G63"/>
  <c r="G64"/>
  <c r="G68" s="1"/>
  <c r="G67"/>
  <c r="H39"/>
  <c r="G49"/>
  <c r="G48"/>
  <c r="D20"/>
  <c r="E71"/>
  <c r="F17"/>
  <c r="F52"/>
  <c r="B54"/>
  <c r="G81"/>
  <c r="G85" s="1"/>
  <c r="G80"/>
  <c r="G82"/>
  <c r="G83"/>
  <c r="H76"/>
  <c r="F16"/>
  <c r="F19" s="1"/>
  <c r="F20" s="1"/>
  <c r="F18"/>
  <c r="H44"/>
  <c r="H31"/>
  <c r="H32"/>
  <c r="H34" s="1"/>
  <c r="F69"/>
  <c r="F84"/>
  <c r="F87" s="1"/>
  <c r="F88" s="1"/>
  <c r="B14"/>
  <c r="B16" s="1"/>
  <c r="B15"/>
  <c r="B17" s="1"/>
  <c r="C16"/>
  <c r="C19" s="1"/>
  <c r="C18"/>
  <c r="H24" i="52"/>
  <c r="H26"/>
  <c r="J10"/>
  <c r="I13"/>
  <c r="I32" s="1"/>
  <c r="I12"/>
  <c r="I20"/>
  <c r="I15" s="1"/>
  <c r="I31" s="1"/>
  <c r="H23"/>
  <c r="H33"/>
  <c r="H34"/>
  <c r="J21"/>
  <c r="J4"/>
  <c r="I27"/>
  <c r="H15"/>
  <c r="H31" s="1"/>
  <c r="G30" a="1"/>
  <c r="G30" s="1"/>
  <c r="H16"/>
  <c r="H25"/>
  <c r="J2" i="80" l="1"/>
  <c r="I4"/>
  <c r="I2" i="81"/>
  <c r="L11" i="9"/>
  <c r="L10"/>
  <c r="L12" s="1"/>
  <c r="G23" i="3"/>
  <c r="G25" s="1"/>
  <c r="G24"/>
  <c r="G21" s="1"/>
  <c r="H4" i="15"/>
  <c r="G5"/>
  <c r="I2" i="23"/>
  <c r="H3"/>
  <c r="H4"/>
  <c r="I4" i="14"/>
  <c r="H9"/>
  <c r="H11"/>
  <c r="E3" i="3"/>
  <c r="E29"/>
  <c r="E4" s="1"/>
  <c r="K10" i="10"/>
  <c r="K12" s="1"/>
  <c r="K11"/>
  <c r="L9"/>
  <c r="M1"/>
  <c r="L7"/>
  <c r="I9" i="17"/>
  <c r="H15"/>
  <c r="H14" s="1"/>
  <c r="H16"/>
  <c r="I4" i="20"/>
  <c r="I3"/>
  <c r="J2"/>
  <c r="I5"/>
  <c r="F106" i="41"/>
  <c r="F105"/>
  <c r="I16" i="52"/>
  <c r="I25"/>
  <c r="G84" i="41"/>
  <c r="G87" s="1"/>
  <c r="G69"/>
  <c r="G5" i="23"/>
  <c r="F21" i="3"/>
  <c r="M5" i="21"/>
  <c r="F15" i="31"/>
  <c r="I13" i="40"/>
  <c r="I14"/>
  <c r="I16"/>
  <c r="I17"/>
  <c r="I15" s="1"/>
  <c r="J3"/>
  <c r="H42" i="41"/>
  <c r="H43" s="1"/>
  <c r="G43"/>
  <c r="N1" i="9"/>
  <c r="M7"/>
  <c r="M9"/>
  <c r="I1" i="3"/>
  <c r="H22"/>
  <c r="H2"/>
  <c r="H26"/>
  <c r="H5" s="1"/>
  <c r="G12" i="14"/>
  <c r="G14" s="1"/>
  <c r="G13"/>
  <c r="H3" i="22"/>
  <c r="H4" s="1"/>
  <c r="I2"/>
  <c r="H19" i="51"/>
  <c r="H18"/>
  <c r="H17"/>
  <c r="I3"/>
  <c r="P13" i="78"/>
  <c r="Q9"/>
  <c r="P11"/>
  <c r="P14"/>
  <c r="N4" i="21"/>
  <c r="N3"/>
  <c r="H98" i="41"/>
  <c r="G106"/>
  <c r="G104"/>
  <c r="G102"/>
  <c r="G101"/>
  <c r="G105" s="1"/>
  <c r="H48"/>
  <c r="F53"/>
  <c r="G47"/>
  <c r="G51" s="1"/>
  <c r="G46"/>
  <c r="G55" s="1"/>
  <c r="F55"/>
  <c r="F54"/>
  <c r="H82"/>
  <c r="H80"/>
  <c r="H84" s="1"/>
  <c r="H83"/>
  <c r="H81"/>
  <c r="H85" s="1"/>
  <c r="H49"/>
  <c r="G16"/>
  <c r="G18"/>
  <c r="H13"/>
  <c r="H14"/>
  <c r="H12"/>
  <c r="H15"/>
  <c r="H35"/>
  <c r="H33"/>
  <c r="H36" s="1"/>
  <c r="G86"/>
  <c r="G88" s="1"/>
  <c r="G52"/>
  <c r="F71"/>
  <c r="H64"/>
  <c r="H63"/>
  <c r="H65"/>
  <c r="H66"/>
  <c r="G70"/>
  <c r="G71" s="1"/>
  <c r="G17"/>
  <c r="B19"/>
  <c r="B18"/>
  <c r="C20"/>
  <c r="I34" i="52"/>
  <c r="I33"/>
  <c r="I28"/>
  <c r="K4"/>
  <c r="J27"/>
  <c r="I26"/>
  <c r="I24"/>
  <c r="K10"/>
  <c r="J13"/>
  <c r="J16" s="1"/>
  <c r="J12"/>
  <c r="H28"/>
  <c r="H30" a="1"/>
  <c r="H30" s="1"/>
  <c r="K21"/>
  <c r="J20"/>
  <c r="I23"/>
  <c r="N5" i="21" l="1"/>
  <c r="H5" i="23"/>
  <c r="J4" i="80"/>
  <c r="K2"/>
  <c r="J2" i="81"/>
  <c r="H87" i="41"/>
  <c r="H102"/>
  <c r="H104"/>
  <c r="H101"/>
  <c r="H24" i="3"/>
  <c r="H23"/>
  <c r="H25" s="1"/>
  <c r="M10" i="9"/>
  <c r="M12" s="1"/>
  <c r="M11"/>
  <c r="M6" s="1"/>
  <c r="J13" i="40"/>
  <c r="J14"/>
  <c r="J16"/>
  <c r="J17"/>
  <c r="J15" s="1"/>
  <c r="F3" i="3"/>
  <c r="F29"/>
  <c r="F4" s="1"/>
  <c r="K2" i="20"/>
  <c r="J3"/>
  <c r="J5" s="1"/>
  <c r="J4"/>
  <c r="M9" i="10"/>
  <c r="M7"/>
  <c r="N1"/>
  <c r="I3" i="23"/>
  <c r="I4"/>
  <c r="J2"/>
  <c r="H5" i="15"/>
  <c r="I4"/>
  <c r="I30" i="52" a="1"/>
  <c r="I30" s="1"/>
  <c r="J25"/>
  <c r="H69" i="41"/>
  <c r="H68"/>
  <c r="H37"/>
  <c r="H86"/>
  <c r="P10" i="78"/>
  <c r="G8" i="14"/>
  <c r="K6" i="10"/>
  <c r="L6" i="9"/>
  <c r="Q14" i="78"/>
  <c r="Q13"/>
  <c r="R9"/>
  <c r="Q11"/>
  <c r="I19" i="51"/>
  <c r="I18"/>
  <c r="I17"/>
  <c r="J3"/>
  <c r="J2" i="22"/>
  <c r="I3"/>
  <c r="I4" s="1"/>
  <c r="J1" i="3"/>
  <c r="I22"/>
  <c r="I26"/>
  <c r="I5" s="1"/>
  <c r="I2"/>
  <c r="I29"/>
  <c r="I4" s="1"/>
  <c r="N9" i="9"/>
  <c r="N7"/>
  <c r="I16" i="17"/>
  <c r="I15"/>
  <c r="J9"/>
  <c r="I14"/>
  <c r="L10" i="10"/>
  <c r="L12" s="1"/>
  <c r="L11"/>
  <c r="L6" s="1"/>
  <c r="H13" i="14"/>
  <c r="H8" s="1"/>
  <c r="H12"/>
  <c r="H14" s="1"/>
  <c r="J4"/>
  <c r="I11"/>
  <c r="I9"/>
  <c r="G3" i="3"/>
  <c r="G29"/>
  <c r="G4" s="1"/>
  <c r="G50" i="41"/>
  <c r="G53" s="1"/>
  <c r="H47"/>
  <c r="H51" s="1"/>
  <c r="H46"/>
  <c r="H50" s="1"/>
  <c r="H16"/>
  <c r="H18"/>
  <c r="H67"/>
  <c r="H70" s="1"/>
  <c r="H71" s="1"/>
  <c r="G54"/>
  <c r="H17"/>
  <c r="H52"/>
  <c r="G19"/>
  <c r="G20" s="1"/>
  <c r="B20"/>
  <c r="J26" i="52"/>
  <c r="J24"/>
  <c r="K12"/>
  <c r="K13"/>
  <c r="K16" s="1"/>
  <c r="J32"/>
  <c r="J23"/>
  <c r="J30" s="1" a="1"/>
  <c r="J30" s="1"/>
  <c r="K20"/>
  <c r="J34"/>
  <c r="J33"/>
  <c r="K27"/>
  <c r="K32"/>
  <c r="J15"/>
  <c r="J31" s="1"/>
  <c r="L2" i="80" l="1"/>
  <c r="K4"/>
  <c r="K2" i="81"/>
  <c r="I5" i="23"/>
  <c r="I12" i="14"/>
  <c r="I14" s="1"/>
  <c r="I13"/>
  <c r="I8" s="1"/>
  <c r="J14" i="17"/>
  <c r="J15"/>
  <c r="J16"/>
  <c r="N10" i="9"/>
  <c r="N12" s="1"/>
  <c r="N11"/>
  <c r="J2" i="3"/>
  <c r="J26"/>
  <c r="J5" s="1"/>
  <c r="J29"/>
  <c r="J4" s="1"/>
  <c r="K1"/>
  <c r="J22"/>
  <c r="J19" i="51"/>
  <c r="J18"/>
  <c r="J17"/>
  <c r="K3"/>
  <c r="K25" i="52"/>
  <c r="H53" i="41"/>
  <c r="Q10" i="78"/>
  <c r="H21" i="3"/>
  <c r="H88" i="41"/>
  <c r="K4" i="14"/>
  <c r="J9"/>
  <c r="J11"/>
  <c r="I24" i="3"/>
  <c r="I21" s="1"/>
  <c r="I3" s="1"/>
  <c r="I23"/>
  <c r="I25" s="1"/>
  <c r="K2" i="22"/>
  <c r="J3"/>
  <c r="J4" s="1"/>
  <c r="S9" i="78"/>
  <c r="R11"/>
  <c r="R13"/>
  <c r="R10" s="1"/>
  <c r="R14"/>
  <c r="I5" i="15"/>
  <c r="J4"/>
  <c r="J4" i="23"/>
  <c r="J3"/>
  <c r="K2"/>
  <c r="N9" i="10"/>
  <c r="N7"/>
  <c r="M10"/>
  <c r="M12" s="1"/>
  <c r="M11"/>
  <c r="L2" i="20"/>
  <c r="K4"/>
  <c r="K3"/>
  <c r="K5" s="1"/>
  <c r="H106" i="41"/>
  <c r="H105"/>
  <c r="H55"/>
  <c r="H54"/>
  <c r="H19"/>
  <c r="H20" s="1"/>
  <c r="K34" i="52"/>
  <c r="K33"/>
  <c r="K26"/>
  <c r="K24"/>
  <c r="J28"/>
  <c r="K15"/>
  <c r="K31" s="1"/>
  <c r="K23"/>
  <c r="K30" s="1" a="1"/>
  <c r="K30" s="1"/>
  <c r="L4" i="80" l="1"/>
  <c r="M2"/>
  <c r="L2" i="81"/>
  <c r="N10" i="10"/>
  <c r="N12" s="1"/>
  <c r="N11"/>
  <c r="N6" s="1"/>
  <c r="J5" i="15"/>
  <c r="K4"/>
  <c r="K19" i="51"/>
  <c r="K18"/>
  <c r="K17"/>
  <c r="J24" i="3"/>
  <c r="J21" s="1"/>
  <c r="J3" s="1"/>
  <c r="J23"/>
  <c r="J25" s="1"/>
  <c r="M6" i="10"/>
  <c r="J5" i="23"/>
  <c r="N6" i="9"/>
  <c r="L3" i="20"/>
  <c r="L4"/>
  <c r="L5"/>
  <c r="M2"/>
  <c r="L2" i="23"/>
  <c r="K4"/>
  <c r="K3"/>
  <c r="T9" i="78"/>
  <c r="S11"/>
  <c r="S14"/>
  <c r="S13"/>
  <c r="K3" i="22"/>
  <c r="K4" s="1"/>
  <c r="L2"/>
  <c r="J13" i="14"/>
  <c r="J12"/>
  <c r="J14" s="1"/>
  <c r="L4"/>
  <c r="K11"/>
  <c r="K9"/>
  <c r="H3" i="3"/>
  <c r="H29"/>
  <c r="H4" s="1"/>
  <c r="L1"/>
  <c r="K22"/>
  <c r="K2"/>
  <c r="K29"/>
  <c r="K4" s="1"/>
  <c r="K26"/>
  <c r="K5" s="1"/>
  <c r="K28" i="52"/>
  <c r="B15" i="77"/>
  <c r="B3"/>
  <c r="B14" s="1"/>
  <c r="N2" i="80" l="1"/>
  <c r="M4"/>
  <c r="M2" i="81"/>
  <c r="K5" i="23"/>
  <c r="L29" i="3"/>
  <c r="L4" s="1"/>
  <c r="M1"/>
  <c r="L22"/>
  <c r="L2"/>
  <c r="L26"/>
  <c r="L5" s="1"/>
  <c r="M4" i="14"/>
  <c r="L11"/>
  <c r="L9"/>
  <c r="M2" i="22"/>
  <c r="L3"/>
  <c r="L4" s="1"/>
  <c r="N2" i="20"/>
  <c r="M4"/>
  <c r="M3"/>
  <c r="M5" s="1"/>
  <c r="J8" i="14"/>
  <c r="S10" i="78"/>
  <c r="K23" i="3"/>
  <c r="K25" s="1"/>
  <c r="K24"/>
  <c r="K21" s="1"/>
  <c r="K3" s="1"/>
  <c r="K12" i="14"/>
  <c r="K14" s="1"/>
  <c r="K13"/>
  <c r="U9" i="78"/>
  <c r="T11"/>
  <c r="T13"/>
  <c r="T14"/>
  <c r="L4" i="23"/>
  <c r="L3"/>
  <c r="M2"/>
  <c r="L4" i="15"/>
  <c r="K5"/>
  <c r="N4" i="80" l="1"/>
  <c r="N2" i="81"/>
  <c r="L5" i="23"/>
  <c r="N2"/>
  <c r="M3"/>
  <c r="M5" s="1"/>
  <c r="M4"/>
  <c r="V9" i="78"/>
  <c r="U11"/>
  <c r="U14"/>
  <c r="U13"/>
  <c r="N3" i="20"/>
  <c r="N4"/>
  <c r="N5" s="1"/>
  <c r="M3" i="22"/>
  <c r="M4" s="1"/>
  <c r="N2"/>
  <c r="N3" s="1"/>
  <c r="N4" s="1"/>
  <c r="L13" i="14"/>
  <c r="L8" s="1"/>
  <c r="L12"/>
  <c r="L14" s="1"/>
  <c r="L23" i="3"/>
  <c r="L25" s="1"/>
  <c r="L24"/>
  <c r="L21" s="1"/>
  <c r="L3" s="1"/>
  <c r="T10" i="78"/>
  <c r="K8" i="14"/>
  <c r="L5" i="15"/>
  <c r="M4"/>
  <c r="N4" i="14"/>
  <c r="M9"/>
  <c r="M11"/>
  <c r="M2" i="3"/>
  <c r="M26"/>
  <c r="M5" s="1"/>
  <c r="M29"/>
  <c r="M4" s="1"/>
  <c r="M22"/>
  <c r="N1"/>
  <c r="N4" i="15" l="1"/>
  <c r="N5" s="1"/>
  <c r="M5"/>
  <c r="W9" i="78"/>
  <c r="V11"/>
  <c r="V13"/>
  <c r="V10" s="1"/>
  <c r="V14"/>
  <c r="N29" i="3"/>
  <c r="N4" s="1"/>
  <c r="O1"/>
  <c r="N22"/>
  <c r="N26"/>
  <c r="N5" s="1"/>
  <c r="N2"/>
  <c r="M23"/>
  <c r="M25" s="1"/>
  <c r="M24"/>
  <c r="M12" i="14"/>
  <c r="M14" s="1"/>
  <c r="M13"/>
  <c r="N11"/>
  <c r="N9"/>
  <c r="N3" i="23"/>
  <c r="N4"/>
  <c r="U10" i="78"/>
  <c r="N12" i="14" l="1"/>
  <c r="N14" s="1"/>
  <c r="N13"/>
  <c r="N23" i="3"/>
  <c r="N25" s="1"/>
  <c r="N24"/>
  <c r="X9" i="78"/>
  <c r="W11"/>
  <c r="W14"/>
  <c r="W13"/>
  <c r="P1" i="3"/>
  <c r="O22"/>
  <c r="O26"/>
  <c r="O5" s="1"/>
  <c r="O2"/>
  <c r="O29"/>
  <c r="O4" s="1"/>
  <c r="N5" i="23"/>
  <c r="M8" i="14"/>
  <c r="M21" i="3"/>
  <c r="M3" s="1"/>
  <c r="O23" l="1"/>
  <c r="O25" s="1"/>
  <c r="O24"/>
  <c r="O21" s="1"/>
  <c r="O3" s="1"/>
  <c r="Y9" i="78"/>
  <c r="X11"/>
  <c r="X13"/>
  <c r="X14"/>
  <c r="P29" i="3"/>
  <c r="P4" s="1"/>
  <c r="P2"/>
  <c r="P26"/>
  <c r="P5" s="1"/>
  <c r="P22"/>
  <c r="W10" i="78"/>
  <c r="N21" i="3"/>
  <c r="N3" s="1"/>
  <c r="N8" i="14"/>
  <c r="P23" i="3" l="1"/>
  <c r="P25" s="1"/>
  <c r="P24"/>
  <c r="Z9" i="78"/>
  <c r="Y11"/>
  <c r="Y14"/>
  <c r="Y13"/>
  <c r="X10"/>
  <c r="Z14" l="1"/>
  <c r="Z13"/>
  <c r="Z11"/>
  <c r="Y10"/>
  <c r="P21" i="3"/>
  <c r="P3" s="1"/>
  <c r="Z10" i="78" l="1"/>
</calcChain>
</file>

<file path=xl/sharedStrings.xml><?xml version="1.0" encoding="utf-8"?>
<sst xmlns="http://schemas.openxmlformats.org/spreadsheetml/2006/main" count="4006" uniqueCount="1582">
  <si>
    <t>I</t>
  </si>
  <si>
    <t>V</t>
  </si>
  <si>
    <t>r</t>
  </si>
  <si>
    <t>m</t>
  </si>
  <si>
    <t>F(V)</t>
  </si>
  <si>
    <t>s</t>
  </si>
  <si>
    <t>INVESTMENT COST</t>
  </si>
  <si>
    <t>EXCHANGE VOLATILITY</t>
  </si>
  <si>
    <t>AFTER SAMUELSON-McKEAN 1965</t>
  </si>
  <si>
    <t>INPUTS</t>
  </si>
  <si>
    <t>OUTPUTS</t>
  </si>
  <si>
    <t>INTRINSIC OPTION VALUE</t>
  </si>
  <si>
    <t>DELTA</t>
  </si>
  <si>
    <t>(B5-B6+(B7^2)/2+SQRT((B6-B5-(B7^2)/2)^2+2*B6*(B7^2)))/(B7^2)</t>
  </si>
  <si>
    <t>B8*B12/(B12-1)</t>
  </si>
  <si>
    <t>IF(B9-$B$8&gt;0,(B9-$B$8),0)</t>
  </si>
  <si>
    <t>MIN((((B9*($B$12-1))/(($B$8*$B$12)))^($B$12-1)),1)</t>
  </si>
  <si>
    <t>B19=</t>
  </si>
  <si>
    <t>COST VOLATILITY</t>
  </si>
  <si>
    <t>z</t>
  </si>
  <si>
    <t>Dean Paxson</t>
  </si>
  <si>
    <t>Manchester Business School</t>
  </si>
  <si>
    <t>CAPACITY</t>
  </si>
  <si>
    <t>ATTENDANCE</t>
  </si>
  <si>
    <t>PAYOFF DIAGRAM FOR GATE RECEIPT SHARING ARRANGEMENT</t>
  </si>
  <si>
    <t>EXPECTED GATE RECEIPTS 20 POUNDS PER ATTENDANCE</t>
  </si>
  <si>
    <t>MAN CITY</t>
  </si>
  <si>
    <t>COUNCIL</t>
  </si>
  <si>
    <t>BARRIER</t>
  </si>
  <si>
    <t>H(P,Q)</t>
  </si>
  <si>
    <t>GATE REC</t>
  </si>
  <si>
    <t>RENT</t>
  </si>
  <si>
    <t>MAN CITY(-)</t>
  </si>
  <si>
    <t>COUNCIL(+)</t>
  </si>
  <si>
    <t>w</t>
  </si>
  <si>
    <t>K</t>
  </si>
  <si>
    <t>sk</t>
  </si>
  <si>
    <t>dk</t>
  </si>
  <si>
    <t>F(V,K)</t>
  </si>
  <si>
    <t>V-K</t>
  </si>
  <si>
    <t>F''(V)</t>
  </si>
  <si>
    <t>F'(V)</t>
  </si>
  <si>
    <t>F'(V*)</t>
  </si>
  <si>
    <t>F(V*)</t>
  </si>
  <si>
    <t>b1=</t>
  </si>
  <si>
    <t>BASIC BLACK-SCHOLES</t>
  </si>
  <si>
    <t>IF(B4&gt;B5,B4-B5,0)</t>
  </si>
  <si>
    <t>Vo(P)</t>
  </si>
  <si>
    <t>V1(P)</t>
  </si>
  <si>
    <t>P(H)</t>
  </si>
  <si>
    <t>SOLVER</t>
  </si>
  <si>
    <t>MARGRABE EXCHANGE</t>
  </si>
  <si>
    <t>BENEFIT</t>
  </si>
  <si>
    <t>COST</t>
  </si>
  <si>
    <t>BENEFIT YIELD</t>
  </si>
  <si>
    <t>COST YIELD</t>
  </si>
  <si>
    <t xml:space="preserve">CORRELATION </t>
  </si>
  <si>
    <t>b2=</t>
  </si>
  <si>
    <t>SENSITIVITIES</t>
  </si>
  <si>
    <t>P</t>
  </si>
  <si>
    <t>MARSHALLIAN vs SIMPLE OPTIMAL ENTER/EXIT PRICES</t>
  </si>
  <si>
    <t>Eq.16</t>
  </si>
  <si>
    <t>Eq.17</t>
  </si>
  <si>
    <t>Eq.18</t>
  </si>
  <si>
    <t>Eq.19</t>
  </si>
  <si>
    <t>DEFERRAL OPTION FOR PATENT ON NEW TOY</t>
  </si>
  <si>
    <t>ASSET  VALUE</t>
  </si>
  <si>
    <t>WMB EXPANSION OPTION</t>
  </si>
  <si>
    <t>ASSET VALUE</t>
  </si>
  <si>
    <t>PRICE</t>
  </si>
  <si>
    <t>CURRENT PRESENT VALUE</t>
  </si>
  <si>
    <t>BUCCANEER NET VALUE</t>
  </si>
  <si>
    <t xml:space="preserve">                           American Perpetual Exchange Option</t>
  </si>
  <si>
    <t>B3-B4</t>
  </si>
  <si>
    <t xml:space="preserve">                                                       Perpetual American Option</t>
  </si>
  <si>
    <t>0.5-(B6-B7)/(B5^2)+SQRT(((B6-B7)/(B5^2)-0.5)^2 + 2*B6/(B5^2))</t>
  </si>
  <si>
    <t>IF(B3&lt;B12,B13*(B3^B14),B10)</t>
  </si>
  <si>
    <t>IF(B3&lt;B12,B13*B14*(B3^(B14-1)),1)</t>
  </si>
  <si>
    <t>(B14/(B14-1))*B4</t>
  </si>
  <si>
    <t>(B12-B4)/(B12^B14)</t>
  </si>
  <si>
    <t>IF(B9&gt;$B$13,B15,($B$13-$B$8)*((B9/$B$13)^$B$12))</t>
  </si>
  <si>
    <t xml:space="preserve">                                                                                                       SAMUELSON-MCKEAN: REAL AMERCAN PERPETUAL CALL OPTION</t>
  </si>
  <si>
    <t>STOCHASTIC V</t>
  </si>
  <si>
    <t>IF(M5&lt;M14,M15*(M5^M16),M12)</t>
  </si>
  <si>
    <t>M5-M6</t>
  </si>
  <si>
    <t>M15*M16*(M5^(M16-1))</t>
  </si>
  <si>
    <t>(M16/(M16-1))*M6</t>
  </si>
  <si>
    <t>(M14-M6)/(M14^M16)</t>
  </si>
  <si>
    <t>0.5-(M8-M9)/(M7^2)+SQRT(((M8-M9)/(M7^2)-0.5)^2 + 2*M8/(M7^2))</t>
  </si>
  <si>
    <t>0.5*(M7^2)*(M5^2)*M19+(M8-M9)*M5*M13-M8*M11</t>
  </si>
  <si>
    <t>M15*M16*(M16-1)*(M5^(M16-2))</t>
  </si>
  <si>
    <t>M15*M16*(M14^(M16-1))</t>
  </si>
  <si>
    <t>IF(M5&lt;M14,M15*(M14^M16),M12)</t>
  </si>
  <si>
    <t>M14-M6</t>
  </si>
  <si>
    <t>Asset VOLATILITY</t>
  </si>
  <si>
    <t>DEVELOPED Asset VALUE</t>
  </si>
  <si>
    <t>DEVELOPMENT OPTION VALUE</t>
  </si>
  <si>
    <t>0.5*(B5^2)*(B3^2)*B17+(B6-B7)*B3*B11-B6*B9</t>
  </si>
  <si>
    <t>IF(B3&lt;B12,B13*B14*(B14-1)*(B3^(B14-2)),0)</t>
  </si>
  <si>
    <t>B13*B14*(B12^(B14-1))</t>
  </si>
  <si>
    <t>IF(B3&lt;B12,B13*(B12^B14),B10)</t>
  </si>
  <si>
    <t>B12-B4</t>
  </si>
  <si>
    <t>V*-K</t>
  </si>
  <si>
    <t>AMERICAN PERPETUAL CALL OPTION</t>
  </si>
  <si>
    <t>ROV</t>
  </si>
  <si>
    <t xml:space="preserve">                                                       Hedging a Perpetual American Option</t>
  </si>
  <si>
    <t>HEDGE</t>
  </si>
  <si>
    <t>CUM GAIN</t>
  </si>
  <si>
    <t>ALTER HEDGE</t>
  </si>
  <si>
    <t>(C16-B16)*C3</t>
  </si>
  <si>
    <t>Investment Cost, K</t>
  </si>
  <si>
    <t>Developed Asset Value, V</t>
  </si>
  <si>
    <t>Stochastic P &amp; Q</t>
  </si>
  <si>
    <t>Q</t>
  </si>
  <si>
    <t>X</t>
  </si>
  <si>
    <t>n</t>
  </si>
  <si>
    <t>X*</t>
  </si>
  <si>
    <t>P(P,Q)</t>
  </si>
  <si>
    <t>B10-B11-B12</t>
  </si>
  <si>
    <t>B5/B14</t>
  </si>
  <si>
    <t>B15-B6</t>
  </si>
  <si>
    <t>SQRT(B7^2+B8^2+2*B9*B7*B8)</t>
  </si>
  <si>
    <t>American Multi-factor Perpetual Real Option</t>
  </si>
  <si>
    <t>IF(B5&lt;B20,(B6/(B18-1))*((B5/B20)^B18),B17)</t>
  </si>
  <si>
    <t>(1/B19^2)*(-(B9*B7*B8+B11+B12-0.5*(B19^2))+SQRT((B9*B7*B8+B11+B12-0.5*(B19^2))^2+(2*B10)*(B19^2)))</t>
  </si>
  <si>
    <t>B6*B14*(B18/(B18-1))</t>
  </si>
  <si>
    <t>B20/B14-B6</t>
  </si>
  <si>
    <t>Z*</t>
  </si>
  <si>
    <t>Z</t>
  </si>
  <si>
    <t>NPV</t>
  </si>
  <si>
    <t>ASSET YIELD</t>
  </si>
  <si>
    <t>B4*B17*EXP(-B7*B9)-B5*B18*EXP(-B6*B9)</t>
  </si>
  <si>
    <t>(LN(B4/B5)+(B6-B7+B8^2/2)*B9)/(B8*SQRT(B9))</t>
  </si>
  <si>
    <t>B15-B8*SQRT(B9)</t>
  </si>
  <si>
    <t>NCF Per Year</t>
  </si>
  <si>
    <t>((1/B6)-(1/(B6*((1+B6)^B7))))*B2</t>
  </si>
  <si>
    <t>-B17+B18+B10</t>
  </si>
  <si>
    <t xml:space="preserve">  £ BILLIONS</t>
  </si>
  <si>
    <t>$B$6*B9-$B$4*$B$7</t>
  </si>
  <si>
    <t>$B$4*$B$7</t>
  </si>
  <si>
    <t>IF(B9&lt;$B$4,$B$6*B9,$B$8*$B$6*B9)</t>
  </si>
  <si>
    <t>IF(B9&lt;$B$4,0,(1-$B$8)*$B$6*B9)</t>
  </si>
  <si>
    <t>COUNCIL RECEIVES 40% OF GATE RECEIPTS OVER 34000, 2 POUNDS/ATTENDANCE RENT</t>
  </si>
  <si>
    <t>CITY(-), COUNCIL(+)</t>
  </si>
  <si>
    <t>Asset Volatility</t>
  </si>
  <si>
    <t>AFTER SAMUELSON-McKEAN (1965)</t>
  </si>
  <si>
    <t>REAL OPTION PAYOFFS</t>
  </si>
  <si>
    <t>Option cost, y</t>
  </si>
  <si>
    <t>STRATEGY RESULT</t>
  </si>
  <si>
    <t>OWN ASSET-DEBT</t>
  </si>
  <si>
    <t>WRITE REAL CALL INTRINSIC</t>
  </si>
  <si>
    <t xml:space="preserve">  STRATEGY RESULT equals write real put on net asset value.</t>
  </si>
  <si>
    <t>B2+B3</t>
  </si>
  <si>
    <t>BUY REAL PUT INTRINSIC</t>
  </si>
  <si>
    <t xml:space="preserve">  STRATEGY RESULT equals buy real call on net asset value at nil exercise cost.</t>
  </si>
  <si>
    <t>Note that the quadratic solution cannot be used in this case.</t>
  </si>
  <si>
    <t>0.5+(B5-B4)/B11+SQRT(((B5-B4)/B11-0.5)^2+2*B5/B11)</t>
  </si>
  <si>
    <t>B13*(B3-B4)</t>
  </si>
  <si>
    <t>IF(B2&lt;0,-B2-$B$6,-$B$6)</t>
  </si>
  <si>
    <t>BUY REAL CALL INTRINSIC</t>
  </si>
  <si>
    <t>NET ASSET VALUE</t>
  </si>
  <si>
    <t>REQUIRE USE OF NET ASSET</t>
  </si>
  <si>
    <t xml:space="preserve">  STRATEGY RESULT equals buy real put on net asset value.</t>
  </si>
  <si>
    <t>IF(B2&gt;0,B2-$B$7,-$B$7)</t>
  </si>
  <si>
    <t>B3+B4</t>
  </si>
  <si>
    <t>WRITE REAL PUT INTRINSIC</t>
  </si>
  <si>
    <t>IF(B2&lt;0,B2+$B$7,$B$7)</t>
  </si>
  <si>
    <t xml:space="preserve">  STRATEGY RESULT equals write real call on net asset value.</t>
  </si>
  <si>
    <t>Option cost, y2</t>
  </si>
  <si>
    <t>Option cost, y1</t>
  </si>
  <si>
    <t xml:space="preserve">  STRATEGY RESULT equals real collar.</t>
  </si>
  <si>
    <t>IF(B2&gt;$B$6,$B$6-B2+$B$9,$B$9)</t>
  </si>
  <si>
    <t>IF(B2&lt;$B$7,-B2-$B$7-$B$10,-$B$10)</t>
  </si>
  <si>
    <t>B2+B3+B4</t>
  </si>
  <si>
    <t>SHORT FUTURES POSITION</t>
  </si>
  <si>
    <t>Hedging cost, y</t>
  </si>
  <si>
    <t xml:space="preserve">  STRATEGY RESULT equals net gain/loss of hedging cost.</t>
  </si>
  <si>
    <t>REAL POSITION PAYOFFS</t>
  </si>
  <si>
    <t>Debt, K</t>
  </si>
  <si>
    <t xml:space="preserve">   Own asset subject to debt K, short an equivalent amount of commodity future, at hedging cost  y.</t>
  </si>
  <si>
    <t xml:space="preserve"> Own asset subject to debt K, give investor an option to buy net asset at nil cost, for immediate payment of option premium of y.</t>
  </si>
  <si>
    <t>Require use of  asset subject to debt K, buy option to buy net asset at nil cost, for immediate payment of option premium of y.</t>
  </si>
  <si>
    <t xml:space="preserve">   Own asset subject to debt K, buy right to sell asset at debt amount K, for immediate payment of option premium of y.</t>
  </si>
  <si>
    <t>Require use of  asset subject to debt K, write option to sell net asset at nil cost, for immediate payment of option premium of y.</t>
  </si>
  <si>
    <t xml:space="preserve">WRITE REAL CALL AT K2 INTRINSIC </t>
  </si>
  <si>
    <t>BUY REAL PUT AT K1 INTRINSIC</t>
  </si>
  <si>
    <t>K2</t>
  </si>
  <si>
    <t>K1</t>
  </si>
  <si>
    <t xml:space="preserve">   Own asset subject to debt K, buy a "costless protective put" (=protective collar).</t>
  </si>
  <si>
    <t>BENEFIT VOLATILITY</t>
  </si>
  <si>
    <t>EXCHANGE CALL OPTION VALUE</t>
  </si>
  <si>
    <t>B3/B4</t>
  </si>
  <si>
    <r>
      <t xml:space="preserve">Yield, </t>
    </r>
    <r>
      <rPr>
        <sz val="10"/>
        <rFont val="Symbol"/>
        <family val="1"/>
        <charset val="2"/>
      </rPr>
      <t>d</t>
    </r>
  </si>
  <si>
    <r>
      <t>Riskless rate, r</t>
    </r>
    <r>
      <rPr>
        <vertAlign val="subscript"/>
        <sz val="10"/>
        <rFont val="Arial"/>
        <family val="2"/>
      </rPr>
      <t>f</t>
    </r>
  </si>
  <si>
    <r>
      <t xml:space="preserve">ROV </t>
    </r>
    <r>
      <rPr>
        <sz val="10"/>
        <rFont val="Symbol"/>
        <family val="1"/>
        <charset val="2"/>
      </rPr>
      <t>G</t>
    </r>
  </si>
  <si>
    <r>
      <t xml:space="preserve">ROV </t>
    </r>
    <r>
      <rPr>
        <sz val="10"/>
        <rFont val="Symbol"/>
        <family val="1"/>
        <charset val="2"/>
      </rPr>
      <t>D</t>
    </r>
  </si>
  <si>
    <r>
      <t>b</t>
    </r>
    <r>
      <rPr>
        <vertAlign val="subscript"/>
        <sz val="10"/>
        <rFont val="Symbol"/>
        <family val="1"/>
        <charset val="2"/>
      </rPr>
      <t>1</t>
    </r>
  </si>
  <si>
    <r>
      <t>s</t>
    </r>
    <r>
      <rPr>
        <vertAlign val="subscript"/>
        <sz val="10"/>
        <rFont val="Tahoma"/>
        <family val="2"/>
      </rPr>
      <t>V</t>
    </r>
  </si>
  <si>
    <r>
      <t>d</t>
    </r>
    <r>
      <rPr>
        <vertAlign val="subscript"/>
        <sz val="10"/>
        <rFont val="Tahoma"/>
        <family val="2"/>
      </rPr>
      <t>V</t>
    </r>
  </si>
  <si>
    <t>IF(B17&lt;B16,B4*B13*(B17^B14),B12)</t>
  </si>
  <si>
    <t>(B16-1)/(B16^B14)</t>
  </si>
  <si>
    <t>0.5-(B8-B7)/(B15^2)+SQRT(((B8-B7)/(B15^2)-0.5)^2 + (2*B8)/(B15^2))</t>
  </si>
  <si>
    <t>SQRT(B5^2+B6^2-2*B9*B5*B6)</t>
  </si>
  <si>
    <t>(B14/(B14-1))</t>
  </si>
  <si>
    <t>MARSHALLIAN ENTER/EXIT PRICES</t>
  </si>
  <si>
    <t>SIMPLE OPTIONAL ENTER/EXIT PRICES</t>
  </si>
  <si>
    <t>Operating cost C</t>
  </si>
  <si>
    <t>GAIN ROV</t>
  </si>
  <si>
    <t>GAIN V</t>
  </si>
  <si>
    <t>NET GAIN</t>
  </si>
  <si>
    <t>SUPPOSE V IS TIMES</t>
  </si>
  <si>
    <t>-B16*B3</t>
  </si>
  <si>
    <t>B10+C11</t>
  </si>
  <si>
    <t>-B9+C9</t>
  </si>
  <si>
    <t>-(B10/B3)*(-C3+B3)</t>
  </si>
  <si>
    <t>C12+C13</t>
  </si>
  <si>
    <t>SUM($C$14:C14)</t>
  </si>
  <si>
    <t>LAND_INVEST HOLDS A PERPETUAL AMERICAN REAL CALL OPTION</t>
  </si>
  <si>
    <t>HEDGE BY SHORTING DELTA OF V BEGINNING OF EACH YEAR.</t>
  </si>
  <si>
    <t>RISK ROV</t>
  </si>
  <si>
    <t>RISK ROV HEDGED</t>
  </si>
  <si>
    <t>Investment K</t>
  </si>
  <si>
    <t>Abandon  A</t>
  </si>
  <si>
    <t>Interest Rate</t>
  </si>
  <si>
    <t>Asset Yield</t>
  </si>
  <si>
    <t>Asset Growth</t>
  </si>
  <si>
    <t>0.5-(B8-B9)/(B11^2)+SQRT(((B8-B9)/(B11^2)-0.5)^2 + 2*B8/(B11^2))</t>
  </si>
  <si>
    <r>
      <t>b</t>
    </r>
    <r>
      <rPr>
        <vertAlign val="subscript"/>
        <sz val="10"/>
        <rFont val="Symbol"/>
        <family val="1"/>
        <charset val="2"/>
      </rPr>
      <t>2</t>
    </r>
  </si>
  <si>
    <t>0.5-(B8-B9)/(B11^2)-SQRT(((B8-B9)/(B11^2)-0.5)^2 + 2*B8/(B11^2))</t>
  </si>
  <si>
    <t>B5+B8*B6</t>
  </si>
  <si>
    <t>IF((B5-B8*B7)&gt;0,B5-B8*B7,0)</t>
  </si>
  <si>
    <t>(B8-B10)/B8*B13/(B13-1)*B15</t>
  </si>
  <si>
    <t>(B8-B10)/B8*(-B14/(-B14+1))*B16</t>
  </si>
  <si>
    <t>B15-B16</t>
  </si>
  <si>
    <t>B17-B18</t>
  </si>
  <si>
    <t>B20/B19</t>
  </si>
  <si>
    <t>R</t>
  </si>
  <si>
    <t>Initial Investment</t>
  </si>
  <si>
    <t>C</t>
  </si>
  <si>
    <t>σ</t>
  </si>
  <si>
    <t>β1</t>
  </si>
  <si>
    <t>β2</t>
  </si>
  <si>
    <t>Eq. 13</t>
  </si>
  <si>
    <t>Value Coefficient of the Option to Invest</t>
  </si>
  <si>
    <t>Value Coefficient of the Option to Abandon</t>
  </si>
  <si>
    <t>Price Trigger for New Entry</t>
  </si>
  <si>
    <t>δ</t>
  </si>
  <si>
    <t>D1</t>
  </si>
  <si>
    <t>D2</t>
  </si>
  <si>
    <t>Riskless Rate</t>
  </si>
  <si>
    <t>Cost of Carry</t>
  </si>
  <si>
    <t>Operating Cost</t>
  </si>
  <si>
    <t>Volatility of NER</t>
  </si>
  <si>
    <t>Eq. 8</t>
  </si>
  <si>
    <t>Eq. 9</t>
  </si>
  <si>
    <t>Eq. 10</t>
  </si>
  <si>
    <t>P(A)</t>
  </si>
  <si>
    <t>Price Trigger to Abandon</t>
  </si>
  <si>
    <t>Net Effective Annualized Rent</t>
  </si>
  <si>
    <t>OPTION TO ABANDON</t>
  </si>
  <si>
    <t>OPTION TO INVEST</t>
  </si>
  <si>
    <t>NPV-I</t>
  </si>
  <si>
    <t>NPV-E</t>
  </si>
  <si>
    <t>TIME VALUE OF OPTION TO INVEST</t>
  </si>
  <si>
    <t xml:space="preserve">Exit Cost </t>
  </si>
  <si>
    <t>C1</t>
  </si>
  <si>
    <t>Cost of Contracting</t>
  </si>
  <si>
    <t>Reduced Operating Cost in Contraction</t>
  </si>
  <si>
    <t>Value Coefficient of the Option to Contract</t>
  </si>
  <si>
    <t>VC(P)</t>
  </si>
  <si>
    <t>'P'('C)</t>
  </si>
  <si>
    <t>Price Trigger to Contract</t>
  </si>
  <si>
    <t>Cost for Reversion:FS from Contraction</t>
  </si>
  <si>
    <t>V0(P)</t>
  </si>
  <si>
    <t>Value Coefficient of the Option to Revert:FS1</t>
  </si>
  <si>
    <t>Contraction Multiplier</t>
  </si>
  <si>
    <t>***</t>
  </si>
  <si>
    <t>ς</t>
  </si>
  <si>
    <t>PDE(0)</t>
  </si>
  <si>
    <t>V'o(P)</t>
  </si>
  <si>
    <t>V''o(P)</t>
  </si>
  <si>
    <t>VALUE MATCH</t>
  </si>
  <si>
    <t>SMOOTH PASTE</t>
  </si>
  <si>
    <t>P(R)</t>
  </si>
  <si>
    <t>Price Trigger for New Investment</t>
  </si>
  <si>
    <t>Investment-Abandonment Model</t>
  </si>
  <si>
    <t xml:space="preserve">Abandonment Cost </t>
  </si>
  <si>
    <t>Abandonment Cost</t>
  </si>
  <si>
    <t>Table 1A</t>
  </si>
  <si>
    <t>D</t>
  </si>
  <si>
    <t>B15*B21/(B3-B5-B4)</t>
  </si>
  <si>
    <t>Quadratic</t>
  </si>
  <si>
    <t xml:space="preserve">                                                                                                                                                 ((-B22/(B3-B4-B5))+SQRT(4*(B16^2)*(2*(B21-B22)-1)+(-B22/(B3-B4-B5))^2))/(2*B16*(2*(B21-B22)-1))</t>
  </si>
  <si>
    <t>((B26/B17)^B12)*B16*B12/(B12-1)*(B21-B22)+B26*B22/(B3-B4-B5)-B16-B16/(B12-1)*(B26/B17)^B12</t>
  </si>
  <si>
    <t>Eq AnnualRevenue</t>
  </si>
  <si>
    <r>
      <t>Y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 xml:space="preserve"> Trigger *K</t>
    </r>
  </si>
  <si>
    <t>B14*B21/(B3-B4)</t>
  </si>
  <si>
    <t>FIGURE</t>
  </si>
  <si>
    <t>PAGE</t>
  </si>
  <si>
    <t>DUO_PROFITS2_K</t>
  </si>
  <si>
    <t>DUO_PROFITS2_VOL</t>
  </si>
  <si>
    <t>Price &amp; Quantity Rivalry vs. Q</t>
  </si>
  <si>
    <t>P_Q RIVALRY_Q</t>
  </si>
  <si>
    <t>Revenue and Investment Cost Uncertainty</t>
  </si>
  <si>
    <t>NORMSDIST(B44)</t>
  </si>
  <si>
    <t>NORMSDIST(B45)</t>
  </si>
  <si>
    <t>Option</t>
  </si>
  <si>
    <t>Follower</t>
  </si>
  <si>
    <t>Leader</t>
  </si>
  <si>
    <t>s^2</t>
  </si>
  <si>
    <t>a^2</t>
  </si>
  <si>
    <t>z^2</t>
  </si>
  <si>
    <t>p</t>
  </si>
  <si>
    <t>Xf</t>
  </si>
  <si>
    <t>In</t>
  </si>
  <si>
    <t>beta</t>
  </si>
  <si>
    <t>Leader before</t>
  </si>
  <si>
    <t>Leader after</t>
  </si>
  <si>
    <t>m-</t>
  </si>
  <si>
    <t>N4^2</t>
  </si>
  <si>
    <t>N6^2</t>
  </si>
  <si>
    <t>N5+N7+N8+2*N4*N6*N8</t>
  </si>
  <si>
    <t>1/N9*(-(N4*N6*N8+N2+N3-N9/2)+SQRT((N4*N6*N8+N2+N3-N9/2)^2+2*N1*N9))</t>
  </si>
  <si>
    <t>N12*N11</t>
  </si>
  <si>
    <t>N10*(N1-N3-N2)*N14/(N10-1)</t>
  </si>
  <si>
    <t>N14/(N10-1)*((N13/N15)^N10)</t>
  </si>
  <si>
    <t>N13/(N1-N2-N3)-N14</t>
  </si>
  <si>
    <t>IF(N13&lt;N15,N16,N17)</t>
  </si>
  <si>
    <r>
      <t xml:space="preserve"> W</t>
    </r>
    <r>
      <rPr>
        <b/>
        <vertAlign val="subscript"/>
        <sz val="10"/>
        <rFont val="Arial"/>
        <family val="2"/>
      </rPr>
      <t>K</t>
    </r>
  </si>
  <si>
    <r>
      <t xml:space="preserve"> W</t>
    </r>
    <r>
      <rPr>
        <b/>
        <vertAlign val="subscript"/>
        <sz val="10"/>
        <rFont val="Arial"/>
        <family val="2"/>
      </rPr>
      <t>A</t>
    </r>
  </si>
  <si>
    <r>
      <t xml:space="preserve"> P</t>
    </r>
    <r>
      <rPr>
        <b/>
        <vertAlign val="subscript"/>
        <sz val="10"/>
        <rFont val="Arial"/>
        <family val="2"/>
      </rPr>
      <t>K</t>
    </r>
  </si>
  <si>
    <r>
      <t xml:space="preserve"> P</t>
    </r>
    <r>
      <rPr>
        <b/>
        <vertAlign val="subscript"/>
        <sz val="10"/>
        <rFont val="Arial"/>
        <family val="2"/>
      </rPr>
      <t>A</t>
    </r>
  </si>
  <si>
    <r>
      <t>W</t>
    </r>
    <r>
      <rPr>
        <b/>
        <vertAlign val="subscript"/>
        <sz val="10"/>
        <color indexed="18"/>
        <rFont val="Arial"/>
        <family val="2"/>
      </rPr>
      <t>K</t>
    </r>
    <r>
      <rPr>
        <b/>
        <sz val="10"/>
        <color indexed="18"/>
        <rFont val="Arial"/>
        <family val="2"/>
      </rPr>
      <t>-W</t>
    </r>
    <r>
      <rPr>
        <b/>
        <vertAlign val="subscript"/>
        <sz val="10"/>
        <color indexed="18"/>
        <rFont val="Arial"/>
        <family val="2"/>
      </rPr>
      <t>A</t>
    </r>
  </si>
  <si>
    <r>
      <t>P</t>
    </r>
    <r>
      <rPr>
        <b/>
        <vertAlign val="subscript"/>
        <sz val="10"/>
        <color indexed="18"/>
        <rFont val="Arial"/>
        <family val="2"/>
      </rPr>
      <t>K</t>
    </r>
    <r>
      <rPr>
        <b/>
        <sz val="10"/>
        <color indexed="18"/>
        <rFont val="Arial"/>
        <family val="2"/>
      </rPr>
      <t>-P</t>
    </r>
    <r>
      <rPr>
        <b/>
        <vertAlign val="subscript"/>
        <sz val="10"/>
        <color indexed="18"/>
        <rFont val="Arial"/>
        <family val="2"/>
      </rPr>
      <t>A</t>
    </r>
  </si>
  <si>
    <r>
      <t>(P</t>
    </r>
    <r>
      <rPr>
        <b/>
        <vertAlign val="subscript"/>
        <sz val="10"/>
        <color indexed="18"/>
        <rFont val="Arial"/>
        <family val="2"/>
      </rPr>
      <t>K</t>
    </r>
    <r>
      <rPr>
        <b/>
        <sz val="10"/>
        <color indexed="18"/>
        <rFont val="Arial"/>
        <family val="2"/>
      </rPr>
      <t>-P</t>
    </r>
    <r>
      <rPr>
        <b/>
        <vertAlign val="subscript"/>
        <sz val="10"/>
        <color indexed="18"/>
        <rFont val="Arial"/>
        <family val="2"/>
      </rPr>
      <t>A</t>
    </r>
    <r>
      <rPr>
        <b/>
        <sz val="10"/>
        <color indexed="18"/>
        <rFont val="Arial"/>
        <family val="2"/>
      </rPr>
      <t>)/(W</t>
    </r>
    <r>
      <rPr>
        <b/>
        <vertAlign val="subscript"/>
        <sz val="10"/>
        <color indexed="18"/>
        <rFont val="Arial"/>
        <family val="2"/>
      </rPr>
      <t>K</t>
    </r>
    <r>
      <rPr>
        <b/>
        <sz val="10"/>
        <color indexed="18"/>
        <rFont val="Arial"/>
        <family val="2"/>
      </rPr>
      <t>-W</t>
    </r>
    <r>
      <rPr>
        <b/>
        <vertAlign val="subscript"/>
        <sz val="10"/>
        <color indexed="18"/>
        <rFont val="Arial"/>
        <family val="2"/>
      </rPr>
      <t>A</t>
    </r>
    <r>
      <rPr>
        <b/>
        <sz val="10"/>
        <color indexed="18"/>
        <rFont val="Arial"/>
        <family val="2"/>
      </rPr>
      <t>)</t>
    </r>
  </si>
  <si>
    <t>P=</t>
  </si>
  <si>
    <t>C=</t>
  </si>
  <si>
    <t>r=</t>
  </si>
  <si>
    <t>d=</t>
  </si>
  <si>
    <t>s=</t>
  </si>
  <si>
    <t>0.5-((B7-B8)/(B9^2))+SQRT(((((B7-B8)/(B9^2))-0.5)^2)+(2*(B7/(B9^2))))</t>
  </si>
  <si>
    <t>0.5-((B7-B8)/(B9^2))-SQRT(((((B7-B8)/(B9^2))-0.5)^2)+(2*(B7/(B9^2))))</t>
  </si>
  <si>
    <t>B17*(B3^B11)</t>
  </si>
  <si>
    <t>(-B17*(B19^B11))+(B18*(B19^B12))+(B19/B8)-(B5/B8)-B4</t>
  </si>
  <si>
    <t>(-B11*B17*(B19^(B11-1)))+(B12*B18*(B19^(B12-1)))+(1/B8)</t>
  </si>
  <si>
    <t>(-B17*(B20^B11))+(B18*(B20^B12))+(B20/B8)-(B5/B8)+B6</t>
  </si>
  <si>
    <t>(-B11*B17*(B20^(B11-1)))+(B12*B18*(B20^(B12-1)))+(1/B8)</t>
  </si>
  <si>
    <t>Set B22=0, and B23=B24=B25=B22, CHANGING B17:B20.</t>
  </si>
  <si>
    <t>K=</t>
  </si>
  <si>
    <t>A=</t>
  </si>
  <si>
    <t>Eq.8.14</t>
  </si>
  <si>
    <t>Eq.8.15</t>
  </si>
  <si>
    <t>Entry - Exit (STOCHASTIC MODEL)</t>
  </si>
  <si>
    <t>(N13/N15)^N10*N14*N10/(N10-1)*(N19-N20)+N13*N20/(N1-N3-N2)-N14</t>
  </si>
  <si>
    <t>N13*N19/(N1-N3-N2)-N14</t>
  </si>
  <si>
    <t>IF(N13&lt;N15,N21,N22)</t>
  </si>
  <si>
    <t>Duopoly Competition with Permanent First-Mover Advantage</t>
  </si>
  <si>
    <t xml:space="preserve">                                                             Stochastic Value</t>
  </si>
  <si>
    <t>Risk-free Rate of Interest (r)</t>
  </si>
  <si>
    <r>
      <t>Volatility of Value (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)</t>
    </r>
  </si>
  <si>
    <r>
      <t>Leader's Market Share After Follower's Entry (</t>
    </r>
    <r>
      <rPr>
        <sz val="10"/>
        <rFont val="Symbol"/>
        <family val="1"/>
        <charset val="2"/>
      </rPr>
      <t>a</t>
    </r>
    <r>
      <rPr>
        <sz val="10"/>
        <rFont val="Arial"/>
        <family val="2"/>
      </rPr>
      <t>)</t>
    </r>
  </si>
  <si>
    <t>Total Market Value (V)</t>
  </si>
  <si>
    <t>Investment Cost (K)</t>
  </si>
  <si>
    <t xml:space="preserve">Follower's Real Option Value </t>
  </si>
  <si>
    <t xml:space="preserve">Leader's Real Option Value </t>
  </si>
  <si>
    <r>
      <t>Investment Trigger Follower (V</t>
    </r>
    <r>
      <rPr>
        <b/>
        <vertAlign val="subscript"/>
        <sz val="10"/>
        <rFont val="Arial"/>
        <family val="2"/>
      </rPr>
      <t>F</t>
    </r>
    <r>
      <rPr>
        <b/>
        <sz val="10"/>
        <rFont val="Arial"/>
        <family val="2"/>
      </rPr>
      <t xml:space="preserve">) </t>
    </r>
  </si>
  <si>
    <r>
      <t>Investment Trigger Leader (V</t>
    </r>
    <r>
      <rPr>
        <b/>
        <vertAlign val="subscript"/>
        <sz val="10"/>
        <rFont val="Arial"/>
        <family val="2"/>
      </rPr>
      <t>L</t>
    </r>
    <r>
      <rPr>
        <b/>
        <sz val="10"/>
        <rFont val="Arial"/>
        <family val="2"/>
      </rPr>
      <t xml:space="preserve">) </t>
    </r>
  </si>
  <si>
    <t>Follower's Real Option Value (Before Entry)</t>
  </si>
  <si>
    <t>Follower's Real Option Value (After Entry)</t>
  </si>
  <si>
    <t>Leader's Real Option Value (Before Entry of F.)</t>
  </si>
  <si>
    <t>Leader's Real Option Value (After Entry of F.)</t>
  </si>
  <si>
    <r>
      <t>b</t>
    </r>
    <r>
      <rPr>
        <b/>
        <vertAlign val="subscript"/>
        <sz val="10"/>
        <rFont val="Symbol"/>
        <family val="1"/>
        <charset val="2"/>
      </rPr>
      <t>1</t>
    </r>
  </si>
  <si>
    <t>QUADRATIC SOLUTION</t>
  </si>
  <si>
    <t>RIVALRY UNDER PRICE &amp; QUANTITY UNCERTAINTY</t>
  </si>
  <si>
    <r>
      <t>s</t>
    </r>
    <r>
      <rPr>
        <vertAlign val="superscript"/>
        <sz val="10"/>
        <rFont val="Symbol"/>
        <family val="1"/>
        <charset val="2"/>
      </rPr>
      <t>2</t>
    </r>
  </si>
  <si>
    <r>
      <t>a</t>
    </r>
    <r>
      <rPr>
        <vertAlign val="superscript"/>
        <sz val="10"/>
        <rFont val="Symbol"/>
        <family val="1"/>
        <charset val="2"/>
      </rPr>
      <t>2</t>
    </r>
  </si>
  <si>
    <r>
      <t>z</t>
    </r>
    <r>
      <rPr>
        <vertAlign val="superscript"/>
        <sz val="10"/>
        <rFont val="Arial"/>
        <family val="2"/>
      </rPr>
      <t>2</t>
    </r>
  </si>
  <si>
    <t>B7+B9+2*B6*B8*B10</t>
  </si>
  <si>
    <t>0.5-(B4-B5)/(B11)+SQRT(((B4-B5)/(B11)-0.5)^2 + 2*B3/(B11))</t>
  </si>
  <si>
    <r>
      <t>X</t>
    </r>
    <r>
      <rPr>
        <vertAlign val="subscript"/>
        <sz val="10"/>
        <rFont val="Arial"/>
        <family val="2"/>
      </rPr>
      <t>F</t>
    </r>
  </si>
  <si>
    <t>B12*(B3-B5-B4)*B16/(B12-1)</t>
  </si>
  <si>
    <t>B16/(B12-1)*((B15/B17)^B12)</t>
  </si>
  <si>
    <t>B15/(B3-B4-B5)-B16</t>
  </si>
  <si>
    <t>Follower ROV</t>
  </si>
  <si>
    <t>IF(B15&lt;B17,B18,B19)</t>
  </si>
  <si>
    <t>m*</t>
  </si>
  <si>
    <t>(B15/B17)^B12*B16*B12/(B12-1)*(B21-B22)+B15*B22/(B3-B5-B4)-B16</t>
  </si>
  <si>
    <t>Leader ROV</t>
  </si>
  <si>
    <t>IF(B15&lt;B17,B23,B24)</t>
  </si>
  <si>
    <r>
      <t>X</t>
    </r>
    <r>
      <rPr>
        <vertAlign val="subscript"/>
        <sz val="10"/>
        <rFont val="Arial"/>
        <family val="2"/>
      </rPr>
      <t>L</t>
    </r>
  </si>
  <si>
    <t>Solver</t>
  </si>
  <si>
    <t>Yield</t>
  </si>
  <si>
    <t>IF(B8&lt;B13,B16,B17)</t>
  </si>
  <si>
    <t>IF(B8&lt;B13,B18,B19)</t>
  </si>
  <si>
    <t>(B21/(B21-1))*B9*(1/(1-B7))</t>
  </si>
  <si>
    <t>B24</t>
  </si>
  <si>
    <t>(((1-B7)*B13-B9)*(B8/B13)^B21)</t>
  </si>
  <si>
    <t>((1-B7)*B8-B9)</t>
  </si>
  <si>
    <t>B8-(B8^B21)*(B13^(1-B21))+B7*B13*(B8/B13)^B21-B9</t>
  </si>
  <si>
    <t>0.5-((B4-B5)/B6^2)+SQRT((((B4-B5)/B6^2)-0.5)^2+(2*B4/B6^2))</t>
  </si>
  <si>
    <t>(B13^(-B21))*((1-B7)*B13-B9)+(1-B7)*B13^(1-B21)</t>
  </si>
  <si>
    <t>(1-SQRT(1-4*B23*B9))/(2*B23)</t>
  </si>
  <si>
    <t>(B7*B8)</t>
  </si>
  <si>
    <t>IF B21=2</t>
  </si>
  <si>
    <t>Set B27=0, Changing B26.</t>
  </si>
  <si>
    <t>RIVALRY UNDER NET REVENUE &amp; INVESTMENT COST UNCERTAINTY</t>
  </si>
  <si>
    <t>Riskless rate</t>
  </si>
  <si>
    <t>Value Drift</t>
  </si>
  <si>
    <t>Cost Drift</t>
  </si>
  <si>
    <t>Value Volatility</t>
  </si>
  <si>
    <t>Cost Volatility</t>
  </si>
  <si>
    <t>Correlation</t>
  </si>
  <si>
    <r>
      <t>s</t>
    </r>
    <r>
      <rPr>
        <vertAlign val="superscript"/>
        <sz val="10"/>
        <rFont val="Arial"/>
        <family val="2"/>
      </rPr>
      <t>2</t>
    </r>
  </si>
  <si>
    <r>
      <t>a</t>
    </r>
    <r>
      <rPr>
        <vertAlign val="superscript"/>
        <sz val="10"/>
        <rFont val="Arial"/>
        <family val="2"/>
      </rPr>
      <t>2</t>
    </r>
  </si>
  <si>
    <r>
      <t>g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 </t>
    </r>
  </si>
  <si>
    <t>B9+B10-2*B6*B7*B8</t>
  </si>
  <si>
    <r>
      <t>b</t>
    </r>
    <r>
      <rPr>
        <vertAlign val="subscript"/>
        <sz val="10"/>
        <rFont val="Symbol"/>
        <family val="1"/>
        <charset val="2"/>
      </rPr>
      <t>1</t>
    </r>
    <r>
      <rPr>
        <sz val="10"/>
        <rFont val="Symbol"/>
        <family val="1"/>
        <charset val="2"/>
      </rPr>
      <t xml:space="preserve">     </t>
    </r>
    <r>
      <rPr>
        <sz val="10"/>
        <rFont val="Arial"/>
        <family val="2"/>
      </rPr>
      <t xml:space="preserve"> </t>
    </r>
  </si>
  <si>
    <t>PV of CF (F)=V</t>
  </si>
  <si>
    <t>Y Current</t>
  </si>
  <si>
    <t>B14/B15</t>
  </si>
  <si>
    <r>
      <t>Y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 xml:space="preserve"> Trigger </t>
    </r>
  </si>
  <si>
    <t>(B3-B4)*B12/(B12-1)</t>
  </si>
  <si>
    <t>Follower Before</t>
  </si>
  <si>
    <t>B15/(B12-1)*(B16/B17)^B12</t>
  </si>
  <si>
    <t>Follower After</t>
  </si>
  <si>
    <t>B14/(B3-B4)-B15</t>
  </si>
  <si>
    <t>Follower Value</t>
  </si>
  <si>
    <t>IF(B16&lt;B17,B18,B19)</t>
  </si>
  <si>
    <t>m (L's Market A/F)</t>
  </si>
  <si>
    <t>m*(Total Market)</t>
  </si>
  <si>
    <t>Leader Before</t>
  </si>
  <si>
    <t>B14*B22/(B3-B4)+(B16/B17)^B12*B12*B15/(B12-1)*(B21-B22)-B15</t>
  </si>
  <si>
    <t>Leader After</t>
  </si>
  <si>
    <t>Leader   Value</t>
  </si>
  <si>
    <t>IF(B16&lt;B17,B23,B24)</t>
  </si>
  <si>
    <r>
      <t>Follower at Y</t>
    </r>
    <r>
      <rPr>
        <vertAlign val="subscript"/>
        <sz val="10"/>
        <rFont val="Arial"/>
        <family val="2"/>
      </rPr>
      <t>L</t>
    </r>
  </si>
  <si>
    <t>B15/(B12-1)*(B28/B17)^B12</t>
  </si>
  <si>
    <r>
      <t>Leader at Y</t>
    </r>
    <r>
      <rPr>
        <vertAlign val="subscript"/>
        <sz val="10"/>
        <rFont val="Arial"/>
        <family val="2"/>
      </rPr>
      <t>L</t>
    </r>
  </si>
  <si>
    <t>B15*B28*B22/(B3-B4)+(B28/B17)^B12*B12*B15/(B12-1)*(B21-B22)-B15</t>
  </si>
  <si>
    <r>
      <t>Y</t>
    </r>
    <r>
      <rPr>
        <vertAlign val="subscript"/>
        <sz val="10"/>
        <rFont val="Arial"/>
        <family val="2"/>
      </rPr>
      <t>L</t>
    </r>
    <r>
      <rPr>
        <sz val="10"/>
        <rFont val="Arial"/>
        <family val="2"/>
      </rPr>
      <t xml:space="preserve"> Trigger</t>
    </r>
  </si>
  <si>
    <t>SOLVER: SET B29=0, CHANGING B28.</t>
  </si>
  <si>
    <r>
      <t>Y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>-Y</t>
    </r>
    <r>
      <rPr>
        <vertAlign val="subscript"/>
        <sz val="10"/>
        <rFont val="Arial"/>
        <family val="2"/>
      </rPr>
      <t>L</t>
    </r>
  </si>
  <si>
    <t>B27-B26</t>
  </si>
  <si>
    <t>USE:   INPUTS INTO BOLD BLUE CELLS</t>
  </si>
  <si>
    <t>f</t>
  </si>
  <si>
    <t>ASSETS</t>
  </si>
  <si>
    <t xml:space="preserve">One-Step Binomial Call </t>
  </si>
  <si>
    <t>up</t>
  </si>
  <si>
    <t>down</t>
  </si>
  <si>
    <t>probability</t>
  </si>
  <si>
    <t>Call Value</t>
  </si>
  <si>
    <t>One-Step Binomial Put</t>
  </si>
  <si>
    <t>Put Value</t>
  </si>
  <si>
    <t>BINOMIAL_CALL</t>
  </si>
  <si>
    <t>BINOMIAL_PUT</t>
  </si>
  <si>
    <t>Put One Step Binomial</t>
  </si>
  <si>
    <t>Call One Step Binomial</t>
  </si>
  <si>
    <t>t</t>
  </si>
  <si>
    <t>Real Value</t>
  </si>
  <si>
    <t>CALL INTRINSIC VALUE</t>
  </si>
  <si>
    <t>MAX(C5-C9,0)</t>
  </si>
  <si>
    <t>MAX(C7-C11,1.2)</t>
  </si>
  <si>
    <t>DISCOUNT RATE:RISKY ASSETS</t>
  </si>
  <si>
    <t>TIME OF INVESTMENT</t>
  </si>
  <si>
    <t>ASSUME: DON'T HAVE TO DEVELOP INFRASTRUCTURE FOR ONE YEAR.</t>
  </si>
  <si>
    <t>B13/B12</t>
  </si>
  <si>
    <t>(B26/(B26-1))*B7</t>
  </si>
  <si>
    <t>B21-B18*SQRT(B17)</t>
  </si>
  <si>
    <t>NORMSDIST(B21)</t>
  </si>
  <si>
    <t>IF(B2&lt;B10,B27*(B2^B26),B2-B7)</t>
  </si>
  <si>
    <t>0.5-(B15-B16-B14)/(B18^2)+SQRT(((B15-B16-B14)/(B18^2)-0.5)^2 + 2*B15/(B18^2))</t>
  </si>
  <si>
    <t>(B10-B7)/(B10^B26)</t>
  </si>
  <si>
    <t>IF(B2&gt;=B40,B2-B7,(B20+B31*(B2/B40)^B30))</t>
  </si>
  <si>
    <t>EXP(-B14*B17)*B40*B36-B7*B38*EXP(-(B15-B16)*B17)</t>
  </si>
  <si>
    <t>((-(B34-1)+SQRT((B34-1)^2+(4*B33)/B32)))/2</t>
  </si>
  <si>
    <t>(B40/B30)*(1-EXP(-B14*B17)*NORMSDIST(B35))</t>
  </si>
  <si>
    <t>1-EXP(-(B15-B16)*B17)</t>
  </si>
  <si>
    <t>(2*B15-B16)/(B18^2)</t>
  </si>
  <si>
    <t>(2*(B15-B16-B14))/(B18^2)</t>
  </si>
  <si>
    <t>(LN(B40/B7)+(B15-B16-B14+(B18^2)/2)*B17)/(B18*SQRT(B17))</t>
  </si>
  <si>
    <t>NORMSDIST(B35)</t>
  </si>
  <si>
    <t>B35-B18*SQRT(B17)</t>
  </si>
  <si>
    <t>EXP(-B14*B17)*B2*B46-B41*B47*EXP(-(B15-B16)*B17)-B2+B42</t>
  </si>
  <si>
    <t>(LN(B2/B42)+(B15-B16-B14+0.5*(B18^2))*B17)/(B18*SQRT(B17))</t>
  </si>
  <si>
    <t>B44-B18*SQRT(B17)</t>
  </si>
  <si>
    <t>ABS(B39)+ABS(B43)</t>
  </si>
  <si>
    <t>Use Tools/Solver, set B49=0, changing B40:B42</t>
  </si>
  <si>
    <t>YEAR</t>
  </si>
  <si>
    <t>l</t>
  </si>
  <si>
    <t>P(a,l)</t>
  </si>
  <si>
    <t>AFTER TSEKREKOS</t>
  </si>
  <si>
    <t>x</t>
  </si>
  <si>
    <t>R&amp;D VALUE PRIOR TO INVESTMENT</t>
  </si>
  <si>
    <t xml:space="preserve">                                                           REAL OPTIONS, INCOMPLETE PREEMPTION, IMPERFECT COMPETITION</t>
  </si>
  <si>
    <r>
      <t>x</t>
    </r>
    <r>
      <rPr>
        <vertAlign val="subscript"/>
        <sz val="10"/>
        <rFont val="Arial"/>
        <family val="2"/>
      </rPr>
      <t>F</t>
    </r>
  </si>
  <si>
    <t xml:space="preserve">                         SCALE_JREFE_21_2_04 (PROOF_PDE1)</t>
  </si>
  <si>
    <t>P*-I</t>
  </si>
  <si>
    <t>Vo(P*)</t>
  </si>
  <si>
    <t>V'o(P*)</t>
  </si>
  <si>
    <t>'NPV(P*)</t>
  </si>
  <si>
    <t>Option to Invest</t>
  </si>
  <si>
    <t xml:space="preserve">Volatility </t>
  </si>
  <si>
    <t>Eq. 8.6</t>
  </si>
  <si>
    <t>Eq. 8.7</t>
  </si>
  <si>
    <t>Eq. 8.4</t>
  </si>
  <si>
    <t>Eq. 8.5</t>
  </si>
  <si>
    <t>P(K)</t>
  </si>
  <si>
    <t>Invest, Revert, Contract and Abandonment</t>
  </si>
  <si>
    <t>VK(P)</t>
  </si>
  <si>
    <t>SOLVER: SET C41=0, CHANGING C24:C31</t>
  </si>
  <si>
    <t>C24*(C6^C17)</t>
  </si>
  <si>
    <t>C25*(C6^C18)+(C6/C10)-(C8/C9)</t>
  </si>
  <si>
    <t>C26*(C6^C17)+C27*(C6^C18)+(C16*C6/C10)-(C15/C9)</t>
  </si>
  <si>
    <t>Eq. 8.12</t>
  </si>
  <si>
    <t>Eq.8.23</t>
  </si>
  <si>
    <t>EXP(B2*SQRT(B4))</t>
  </si>
  <si>
    <t>1/B5</t>
  </si>
  <si>
    <t>(EXP(B3*B4)-B6)/(B5-B6)</t>
  </si>
  <si>
    <t>C21=</t>
  </si>
  <si>
    <t>C23=</t>
  </si>
  <si>
    <t>B22=</t>
  </si>
  <si>
    <t>MAX((C13-C17),0)</t>
  </si>
  <si>
    <t>MAX((C15-C19),0)</t>
  </si>
  <si>
    <t xml:space="preserve"> EXP(-B3*B4)*(C21*B7+(1-B7)*C23)</t>
  </si>
  <si>
    <t>MAX((-C13+C17),0)</t>
  </si>
  <si>
    <t>MAX((-C15+C19),0)</t>
  </si>
  <si>
    <t xml:space="preserve">Price Trigger to Revert </t>
  </si>
  <si>
    <t>(C24)*(C28^C17)-C25*(C28^C18)-(C28/C10)+(C8/C9)+C7</t>
  </si>
  <si>
    <t>C17*(C24)*(C28^(C17-1))-C18*C25*(C28^(C18-1))-(1/C10)</t>
  </si>
  <si>
    <t>(-C26)*(C30^C17)+(C25-C27)*(C30^C18)+((1-C16)*C30)/C10-((C8-C15)/C9)+C12</t>
  </si>
  <si>
    <t>C17*(-C26)*(C30^(C17-1))+C18*(C25-C27)*(C30^(C18-1))+(1-C16)/C10</t>
  </si>
  <si>
    <t>(C26)*(C29^C17)+(C27-C25)*(C29^C18)-(1-C16)*C29/C10+(C8-C15)/C9+C14</t>
  </si>
  <si>
    <t>C17*(C26)*(C29^(C17-1))+C18*(C27-C25)*(C29^(C18-1))-(1-C16)/C10</t>
  </si>
  <si>
    <t>(C26-C24)*(C31^C17)+C27*(C31^C18)+((C16*C31)/C10)-C15/C9+C13</t>
  </si>
  <si>
    <t>C17*(C26-C24)*(C31^(C17-1))+C18*C27*(C31^(C18-1))+(C16/C10)</t>
  </si>
  <si>
    <t>Eq.8.16</t>
  </si>
  <si>
    <t>Eq.8.17</t>
  </si>
  <si>
    <t>Eq.8.26</t>
  </si>
  <si>
    <t>Eq.8.27</t>
  </si>
  <si>
    <t>Eq.8.28</t>
  </si>
  <si>
    <t>Eq.8.30</t>
  </si>
  <si>
    <t>Eq.8.29</t>
  </si>
  <si>
    <t>Eq.8.31</t>
  </si>
  <si>
    <t>INVESTMENT MODEL</t>
  </si>
  <si>
    <r>
      <t>A</t>
    </r>
    <r>
      <rPr>
        <vertAlign val="subscript"/>
        <sz val="10"/>
        <rFont val="Arial"/>
        <family val="2"/>
      </rPr>
      <t>1</t>
    </r>
  </si>
  <si>
    <r>
      <t>P</t>
    </r>
    <r>
      <rPr>
        <vertAlign val="subscript"/>
        <sz val="10"/>
        <rFont val="Arial"/>
        <family val="2"/>
      </rPr>
      <t>I</t>
    </r>
  </si>
  <si>
    <r>
      <t>β</t>
    </r>
    <r>
      <rPr>
        <vertAlign val="subscript"/>
        <sz val="10"/>
        <rFont val="Arial"/>
        <family val="2"/>
      </rPr>
      <t>1</t>
    </r>
  </si>
  <si>
    <r>
      <t>β</t>
    </r>
    <r>
      <rPr>
        <vertAlign val="subscript"/>
        <sz val="10"/>
        <rFont val="Arial"/>
        <family val="2"/>
      </rPr>
      <t>2</t>
    </r>
  </si>
  <si>
    <t xml:space="preserve"> Entry - Exit Model</t>
  </si>
  <si>
    <t xml:space="preserve">STOC_ENTRY_EXIT </t>
  </si>
  <si>
    <t>MULTIPLE_SCALE</t>
  </si>
  <si>
    <t>DUO_PROFITS1</t>
  </si>
  <si>
    <t>R_K RIVALRY</t>
  </si>
  <si>
    <t xml:space="preserve"> </t>
  </si>
  <si>
    <t>d1</t>
  </si>
  <si>
    <t>d2</t>
  </si>
  <si>
    <t>a</t>
  </si>
  <si>
    <t>S*</t>
  </si>
  <si>
    <t>B2</t>
  </si>
  <si>
    <t>RISK</t>
  </si>
  <si>
    <t>A2</t>
  </si>
  <si>
    <t>A1</t>
  </si>
  <si>
    <t>b</t>
  </si>
  <si>
    <t>(LN(B2/B7)+(B15-B16-B14+0.5*(B18^2))*B17)/(B18*SQRT(B17))</t>
  </si>
  <si>
    <t>EXP(-B14*B17)*B2*B23-B7*B24*EXP(-(B15-B16)*B17)</t>
  </si>
  <si>
    <t>LAST CHANCE BREAK-EVEN PRICE</t>
  </si>
  <si>
    <t>V*</t>
  </si>
  <si>
    <t>NORMSDIST(B15)</t>
  </si>
  <si>
    <t>NORMSDIST(B16)</t>
  </si>
  <si>
    <t>h</t>
  </si>
  <si>
    <t>IF(B3&gt;0,-B3+$B$7,$B$7)</t>
  </si>
  <si>
    <t>-B3+$B$7</t>
  </si>
  <si>
    <t>BREAK-EVEN SPOT PRICE AT WHICH DEFER FOR T YEARS&gt;NPV</t>
  </si>
  <si>
    <t>EUROPEAN BREAK-EVEN PRICE</t>
  </si>
  <si>
    <t>REAL EUROPEAN OPTION PRICE-NPV</t>
  </si>
  <si>
    <t>COMPARISON OF LAST CHANCE &amp; REAL OPTION VALUES FOR OILFIELD DEVELOPMENT</t>
  </si>
  <si>
    <t>NORMSDIST(B37)</t>
  </si>
  <si>
    <t>CONVENIENCE YIELD</t>
  </si>
  <si>
    <t>I TRADITIONAL PRESENT VALUE</t>
  </si>
  <si>
    <t>II EUROPEAN OPTION VALUE</t>
  </si>
  <si>
    <t>III FINITE AMERICAN OPTION</t>
  </si>
  <si>
    <t>I   S(BE)</t>
  </si>
  <si>
    <t>III S(AF)</t>
  </si>
  <si>
    <t>INPUT</t>
  </si>
  <si>
    <t>RESERVES (DISCOUNTED BCF)</t>
  </si>
  <si>
    <t>PV DEVELOPMENT COST</t>
  </si>
  <si>
    <t>DISCOUNT RATE</t>
  </si>
  <si>
    <t>COST ESCALATION</t>
  </si>
  <si>
    <t>TIME TO DEVELOPMENT</t>
  </si>
  <si>
    <t>VOLATILITY</t>
  </si>
  <si>
    <t>NET DISCOUNT RATE</t>
  </si>
  <si>
    <t>NET RATE</t>
  </si>
  <si>
    <t>N(d1)</t>
  </si>
  <si>
    <t>N(d2)</t>
  </si>
  <si>
    <t>c(S*)</t>
  </si>
  <si>
    <t>g2</t>
  </si>
  <si>
    <t>S* solver=0</t>
  </si>
  <si>
    <t>d1(S*)</t>
  </si>
  <si>
    <t>N(d1(S*)</t>
  </si>
  <si>
    <t>d2(S*)</t>
  </si>
  <si>
    <t>N(d2(S*)</t>
  </si>
  <si>
    <t>SPOT PRICE OIL</t>
  </si>
  <si>
    <t>IV PERPETUAL AMERICAN OPTION</t>
  </si>
  <si>
    <t>II   S(E)</t>
  </si>
  <si>
    <t>IV S(AP)</t>
  </si>
  <si>
    <t>OUTPUT</t>
  </si>
  <si>
    <t>AMERICAN PERPETUITY</t>
  </si>
  <si>
    <t>REAL EUROPEAN OPTION PRICE</t>
  </si>
  <si>
    <t>AMERICAN FINITE CALL OPTION</t>
  </si>
  <si>
    <t>A</t>
  </si>
  <si>
    <t>b1</t>
  </si>
  <si>
    <t>TIME OF NCF</t>
  </si>
  <si>
    <t>NORMSDIST(B22)</t>
  </si>
  <si>
    <t>SPOT OIL PRICE</t>
  </si>
  <si>
    <t>II   V(E)</t>
  </si>
  <si>
    <t>I    V(BE)</t>
  </si>
  <si>
    <t>III  V(AF)</t>
  </si>
  <si>
    <t>IV V(AP)</t>
  </si>
  <si>
    <t>RESERVES (DISCOUNTED BBLS)</t>
  </si>
  <si>
    <t>PV DEVELOPMENT &amp; OPS COST</t>
  </si>
  <si>
    <t>c(V*)</t>
  </si>
  <si>
    <t>d1(V*)</t>
  </si>
  <si>
    <t>N(d1(V*)</t>
  </si>
  <si>
    <t>d2(V*)</t>
  </si>
  <si>
    <t>N(d2(V*)</t>
  </si>
  <si>
    <t>V* solver=0</t>
  </si>
  <si>
    <t>B40</t>
  </si>
  <si>
    <t>CHAPTER 1</t>
  </si>
  <si>
    <t>INTRINSIC CALL</t>
  </si>
  <si>
    <t>CALL OPTION</t>
  </si>
  <si>
    <t>CHAPTER 2</t>
  </si>
  <si>
    <t>BINOMIAL_CALL_PUT</t>
  </si>
  <si>
    <t>Call &amp; Put Binomial, No Income</t>
  </si>
  <si>
    <t>BLACK_SCHOLES</t>
  </si>
  <si>
    <t>Basic Black-Scholes</t>
  </si>
  <si>
    <t>DEFERRAL</t>
  </si>
  <si>
    <t>GROWTH</t>
  </si>
  <si>
    <t>EXCHANGE</t>
  </si>
  <si>
    <t>Margrabe Exchange</t>
  </si>
  <si>
    <t>CHAPTER 3</t>
  </si>
  <si>
    <t>HEDGING1</t>
  </si>
  <si>
    <r>
      <t>g</t>
    </r>
    <r>
      <rPr>
        <vertAlign val="subscript"/>
        <sz val="10"/>
        <rFont val="Symbol"/>
        <family val="1"/>
        <charset val="2"/>
      </rPr>
      <t>2</t>
    </r>
  </si>
  <si>
    <t>"Perfect Hedging" with Futures</t>
  </si>
  <si>
    <t>STRATEGY1</t>
  </si>
  <si>
    <t>Write Put Strategy</t>
  </si>
  <si>
    <t>STRATEGY2</t>
  </si>
  <si>
    <t>Buy Put Strategy</t>
  </si>
  <si>
    <t>STRATEGY3</t>
  </si>
  <si>
    <t>Protective Put Strategy</t>
  </si>
  <si>
    <t>STRATEGY4</t>
  </si>
  <si>
    <t>Write Call Strategy</t>
  </si>
  <si>
    <t>STRATEGY5</t>
  </si>
  <si>
    <t>Collar Strategy</t>
  </si>
  <si>
    <t>SHARING</t>
  </si>
  <si>
    <t>CHAPTER 4</t>
  </si>
  <si>
    <t>SAMUELSON1</t>
  </si>
  <si>
    <t>SAMUELSON2</t>
  </si>
  <si>
    <t>Perpetual American Exchange Option</t>
  </si>
  <si>
    <t>DELTA, GAMMA</t>
  </si>
  <si>
    <t>HEDGING</t>
  </si>
  <si>
    <t>Delta Hedging a Perpetual Call</t>
  </si>
  <si>
    <t>CHAPTER 5</t>
  </si>
  <si>
    <t>Perpetual Multi-Factor Real Option</t>
  </si>
  <si>
    <t>MARSHALL_INVEST</t>
  </si>
  <si>
    <t>Marshall NPV Investment Rules</t>
  </si>
  <si>
    <t>MARSHALL_SENSE</t>
  </si>
  <si>
    <t>Marshall Sensitivities</t>
  </si>
  <si>
    <t>CHAPTER 8</t>
  </si>
  <si>
    <t>CHAPTER 9</t>
  </si>
  <si>
    <t>CHAPTER 10</t>
  </si>
  <si>
    <t>P_Q RIVALRY</t>
  </si>
  <si>
    <t>First Mover Advantage: Market Share</t>
  </si>
  <si>
    <t>Price &amp; Quantity Uncertainty</t>
  </si>
  <si>
    <t>ROV Entry Only</t>
  </si>
  <si>
    <t>ROV Entry_Contract_Revert_Exit</t>
  </si>
  <si>
    <t>Intrinsic Call Option Value</t>
  </si>
  <si>
    <t>Model and Intrinsic Call Option Value</t>
  </si>
  <si>
    <t>CALL_TIME</t>
  </si>
  <si>
    <t>Call Option vs. Time to Maturity</t>
  </si>
  <si>
    <t>CALL_VOLATILITY</t>
  </si>
  <si>
    <t>Call Option vs. Increasing Volatility</t>
  </si>
  <si>
    <t>Gate receipt sharing arrangement lease</t>
  </si>
  <si>
    <t>Delta, ROV, V* vs Volatility</t>
  </si>
  <si>
    <t>Perpetual Delta &amp; Gamma vs Interest Rates</t>
  </si>
  <si>
    <t>AMER_PERP</t>
  </si>
  <si>
    <t>AM_PERP_MF</t>
  </si>
  <si>
    <t>AM_PERP_MF_Q</t>
  </si>
  <si>
    <t>Perpetual Multi-Factor Real Option vs Volume</t>
  </si>
  <si>
    <t>AM_PERP_MF_CORR</t>
  </si>
  <si>
    <t>Perpetual Multi-Factor Real Option vs Corr</t>
  </si>
  <si>
    <t>AM_PERP_EXCH</t>
  </si>
  <si>
    <t>AM_PERP_EXCH_CORR</t>
  </si>
  <si>
    <t>Perpetual American Exchange Option vs.Corr</t>
  </si>
  <si>
    <t>E</t>
  </si>
  <si>
    <t>EXERCISE</t>
  </si>
  <si>
    <t>EXERCISE PRICE</t>
  </si>
  <si>
    <t>TIME / YEARS</t>
  </si>
  <si>
    <t>CALL PRICE</t>
  </si>
  <si>
    <t>RISKLESS RATE</t>
  </si>
  <si>
    <t>ODE</t>
  </si>
  <si>
    <t>ASSET</t>
  </si>
  <si>
    <t>CALL INTRINSIC</t>
  </si>
  <si>
    <t>IF(N3&gt;N4,N3-N4,0)</t>
  </si>
  <si>
    <t>TIME TO EXPIRE</t>
  </si>
  <si>
    <t>RATE</t>
  </si>
  <si>
    <t>TIME</t>
  </si>
  <si>
    <t>Time</t>
  </si>
  <si>
    <t>Development</t>
  </si>
  <si>
    <t>u</t>
  </si>
  <si>
    <t>Values</t>
  </si>
  <si>
    <t>d</t>
  </si>
  <si>
    <t>Cost</t>
  </si>
  <si>
    <t>PROPERTY DEVELOPMENT WITH DEFER &amp; ABANDON OPTIONS</t>
  </si>
  <si>
    <t>One-Step Binomial Call &amp; Put</t>
  </si>
  <si>
    <t>VOL</t>
  </si>
  <si>
    <t>EXP(F3*SQRT(F5))</t>
  </si>
  <si>
    <t>1/F6</t>
  </si>
  <si>
    <t>(EXP(F4*F5)-F7)/(F6-F7)</t>
  </si>
  <si>
    <t>C13=</t>
  </si>
  <si>
    <t>Defer Option</t>
  </si>
  <si>
    <t>B14=</t>
  </si>
  <si>
    <t xml:space="preserve">                     EXP(-F4*F5)*C13*F8</t>
  </si>
  <si>
    <t>With Abandonment Option</t>
  </si>
  <si>
    <t>Combined</t>
  </si>
  <si>
    <t>Options</t>
  </si>
  <si>
    <t>B18=</t>
  </si>
  <si>
    <t xml:space="preserve">                                            EXP(-F4*F5)*(C17*F8+(1-F8)*C19)</t>
  </si>
  <si>
    <t>C19=</t>
  </si>
  <si>
    <t>Price</t>
  </si>
  <si>
    <t>Volatility of P</t>
  </si>
  <si>
    <t>PV-K</t>
  </si>
  <si>
    <t>C-rA</t>
  </si>
  <si>
    <t>r/d&gt;b?</t>
  </si>
  <si>
    <t>(C-rA)&lt;0?</t>
  </si>
  <si>
    <t>r/d</t>
  </si>
  <si>
    <t>rA</t>
  </si>
  <si>
    <t>(d/r)*(b/b-1)</t>
  </si>
  <si>
    <t>MARSHALLIAN TRIGGERS</t>
  </si>
  <si>
    <t>#1 Session</t>
  </si>
  <si>
    <t>#2 Session</t>
  </si>
  <si>
    <t>SQRT(B8^2 + B9^2 -2*B10*B9*B8)</t>
  </si>
  <si>
    <t>B3*B17*EXP(-B6*B5)-B4*B18*EXP(-B7*B5)</t>
  </si>
  <si>
    <t>(LN(B3/B4)+(B7-B6+(B11^2)/2)*B5)/(B11*SQRT(B5))</t>
  </si>
  <si>
    <t>B15-B11*SQRT(B5)</t>
  </si>
  <si>
    <t>HOLD REAL CALL INTRINSIC</t>
  </si>
  <si>
    <t>Own property subject to debt K, hold an option to renovate net asset at nil cost, immediate payment of option premium of y.</t>
  </si>
  <si>
    <t xml:space="preserve">  STRATEGY RESULT equals extreme upside potential, downside reduced by option premium.</t>
  </si>
  <si>
    <t>IF(B2&lt;0,B2-$B$6,-$B$6)</t>
  </si>
  <si>
    <t>OWN LEVERAGED PROPERTY</t>
  </si>
  <si>
    <t>RENOVATION REQUIREMENT</t>
  </si>
  <si>
    <t>IF(B2&lt;0,B2+$B$6,+$B$6)</t>
  </si>
  <si>
    <t>Own property subject to debt K, have requirement to renovate up to K value for receipt of put option premium of y.</t>
  </si>
  <si>
    <t xml:space="preserve">  STRATEGY RESULT equals extreme downside potential, and slight improvement in upside.</t>
  </si>
  <si>
    <t>Renovation Call Option</t>
  </si>
  <si>
    <t>CHAPTER 11</t>
  </si>
  <si>
    <t>CHAPTER 12</t>
  </si>
  <si>
    <t>RENEWAL DETERMINISTIC</t>
  </si>
  <si>
    <t>RENEWAL P&amp;C STOCHASTIC</t>
  </si>
  <si>
    <t>SINGLE RENEWAL OPTION</t>
  </si>
  <si>
    <t>ABANDON OPTION</t>
  </si>
  <si>
    <t>ANTICIPATED TECH PROGRESS</t>
  </si>
  <si>
    <t>RENOVATION</t>
  </si>
  <si>
    <t>RENOVATION REQUIRED</t>
  </si>
  <si>
    <t>Renovation Put</t>
  </si>
  <si>
    <t xml:space="preserve">                           Renewal Template</t>
  </si>
  <si>
    <t>Deterministic</t>
  </si>
  <si>
    <r>
      <t>C</t>
    </r>
    <r>
      <rPr>
        <vertAlign val="subscript"/>
        <sz val="10"/>
        <rFont val="Arial"/>
        <family val="2"/>
      </rPr>
      <t>I</t>
    </r>
  </si>
  <si>
    <t>C*</t>
  </si>
  <si>
    <r>
      <t>s</t>
    </r>
    <r>
      <rPr>
        <vertAlign val="subscript"/>
        <sz val="10"/>
        <rFont val="Tahoma"/>
        <family val="2"/>
      </rPr>
      <t>P</t>
    </r>
  </si>
  <si>
    <r>
      <t>s</t>
    </r>
    <r>
      <rPr>
        <vertAlign val="subscript"/>
        <sz val="10"/>
        <rFont val="Tahoma"/>
        <family val="2"/>
      </rPr>
      <t>C</t>
    </r>
  </si>
  <si>
    <r>
      <t>q</t>
    </r>
    <r>
      <rPr>
        <vertAlign val="subscript"/>
        <sz val="10"/>
        <rFont val="Tahoma"/>
        <family val="2"/>
      </rPr>
      <t>P</t>
    </r>
  </si>
  <si>
    <r>
      <t>q</t>
    </r>
    <r>
      <rPr>
        <vertAlign val="subscript"/>
        <sz val="10"/>
        <rFont val="Tahoma"/>
        <family val="2"/>
      </rPr>
      <t>C</t>
    </r>
  </si>
  <si>
    <r>
      <t>Q</t>
    </r>
    <r>
      <rPr>
        <sz val="10"/>
        <rFont val="Symbol"/>
        <family val="1"/>
        <charset val="2"/>
      </rPr>
      <t>(b,h)</t>
    </r>
  </si>
  <si>
    <t>SP</t>
  </si>
  <si>
    <t>SUM</t>
  </si>
  <si>
    <t>P*</t>
  </si>
  <si>
    <r>
      <t>T*</t>
    </r>
    <r>
      <rPr>
        <vertAlign val="subscript"/>
        <sz val="10"/>
        <rFont val="Arial"/>
        <family val="2"/>
      </rPr>
      <t>C</t>
    </r>
  </si>
  <si>
    <r>
      <t>T*</t>
    </r>
    <r>
      <rPr>
        <vertAlign val="subscript"/>
        <sz val="10"/>
        <rFont val="Arial"/>
        <family val="2"/>
      </rPr>
      <t>P</t>
    </r>
  </si>
  <si>
    <t>P*-C*</t>
  </si>
  <si>
    <t>B11*B18+B12*B19-B10</t>
  </si>
  <si>
    <t>EQ 24</t>
  </si>
  <si>
    <t>((B3/B20)^B18)*((B4/B21)^B19)-EXP(-B10*B22)</t>
  </si>
  <si>
    <t>EQ 25</t>
  </si>
  <si>
    <t>SET B24=0,CHANGING B18:B21,B22=B23</t>
  </si>
  <si>
    <t>(1/B12)*(LN(B21/B4))</t>
  </si>
  <si>
    <t>EQ 23</t>
  </si>
  <si>
    <t>(1/B11)*(LN(B20/B3))</t>
  </si>
  <si>
    <t>P* VALUE</t>
  </si>
  <si>
    <t>C*VALUE</t>
  </si>
  <si>
    <t>Renewal V-K</t>
  </si>
  <si>
    <t>NPV=0</t>
  </si>
  <si>
    <t>B20*((1/B10)+(B11/B10)*(EXP(-B10*B22)/(B10-B11)))</t>
  </si>
  <si>
    <t>B21*((1/B10)+(B12/B10)*(EXP(-B10*B22)/(B10-B12)))</t>
  </si>
  <si>
    <t>B3/(B10-B11)-B4/(B10-B12)-B5</t>
  </si>
  <si>
    <t>B34-B35-B36</t>
  </si>
  <si>
    <t>EQ 22</t>
  </si>
  <si>
    <t>ASSET DETERIORATION OVER THE YEARS</t>
  </si>
  <si>
    <t>YEARS</t>
  </si>
  <si>
    <t>P-C</t>
  </si>
  <si>
    <t>$B$3*EXP($B$11*B45)</t>
  </si>
  <si>
    <t>$B$4*EXP($B$12*B45)</t>
  </si>
  <si>
    <t>Equity &amp; Debt &amp; Bankruptcy</t>
  </si>
  <si>
    <t xml:space="preserve"> Renewal Template</t>
  </si>
  <si>
    <t>Stochastic P</t>
  </si>
  <si>
    <t>Stochastic P &amp; C</t>
  </si>
  <si>
    <r>
      <t>Q</t>
    </r>
    <r>
      <rPr>
        <sz val="10"/>
        <rFont val="Symbol"/>
        <family val="1"/>
        <charset val="2"/>
      </rPr>
      <t>(b,h=0)</t>
    </r>
  </si>
  <si>
    <r>
      <t>H</t>
    </r>
    <r>
      <rPr>
        <sz val="10"/>
        <rFont val="Symbol"/>
        <family val="1"/>
        <charset val="2"/>
      </rPr>
      <t>(b,h)</t>
    </r>
  </si>
  <si>
    <t>(0.5-B11/(B7^2))-SQRT((0.5-B11/(B7^2))^2+2*B10/(B7^2))-B19</t>
  </si>
  <si>
    <t>EQ 27</t>
  </si>
  <si>
    <t>(B20/(B19*(B10-B11)))*(B19-1+((B3/B20)^B19))-B3/(B10-B11)+B5</t>
  </si>
  <si>
    <t>EQ 26</t>
  </si>
  <si>
    <t>SET B17=0, CHANGING B19:B20.</t>
  </si>
  <si>
    <t>PART 1</t>
  </si>
  <si>
    <t>PART 2</t>
  </si>
  <si>
    <t>PART 3</t>
  </si>
  <si>
    <t>Renewal Template</t>
  </si>
  <si>
    <t>Stochastic Model P &amp; C</t>
  </si>
  <si>
    <t>0.5*(B7^2)*B23*(B23-1)+0.5*(B8^2)*B24*(B24-1)+B9*B7*B8*B23*B24+B11*B23+B12*B24-B10</t>
  </si>
  <si>
    <t>EQ 4</t>
  </si>
  <si>
    <t>B25/(-B23*(B10-B11))-B6/(B24*(B10-B12))</t>
  </si>
  <si>
    <t>EQ 11</t>
  </si>
  <si>
    <t>B18*B19+B20</t>
  </si>
  <si>
    <t>EQ 13</t>
  </si>
  <si>
    <t>B6/(B24*(B10-B12))</t>
  </si>
  <si>
    <t>1-B23-B24-((B3^B23)*(B4^B24)/(B6^(B23+B24)))*((-B23*(B10-B11)/(B24*(B10-B12)))^-B23)</t>
  </si>
  <si>
    <t>-B3/(B10-B11)+B4/(B10-B12)+B5</t>
  </si>
  <si>
    <t>SET B21=0,CHANGING B23:B25.</t>
  </si>
  <si>
    <t>F=ROV+NPV</t>
  </si>
  <si>
    <t>F</t>
  </si>
  <si>
    <t>F*</t>
  </si>
  <si>
    <t>EQ 10</t>
  </si>
  <si>
    <t>B40+B41</t>
  </si>
  <si>
    <t>B43*(B36^B23)*(B37^B24)</t>
  </si>
  <si>
    <t>B36/(B10-B11)-B37/(B10-B12)</t>
  </si>
  <si>
    <t>(B25/(B23*(B10-B11)))*(B23+B24-1)</t>
  </si>
  <si>
    <t>(-B25/(B23*(B10-B11)))*(1/((B25^B23)*(B6^B24)))</t>
  </si>
  <si>
    <t xml:space="preserve">                         Multiple American Perpetual Output Switch Option</t>
  </si>
  <si>
    <t>OUTPUT X</t>
  </si>
  <si>
    <t>OUTPUT Y</t>
  </si>
  <si>
    <t>y</t>
  </si>
  <si>
    <t>Convenience yield of x</t>
  </si>
  <si>
    <r>
      <t>δ</t>
    </r>
    <r>
      <rPr>
        <vertAlign val="subscript"/>
        <sz val="10"/>
        <rFont val="Times New Roman"/>
        <family val="1"/>
      </rPr>
      <t>x</t>
    </r>
  </si>
  <si>
    <t>Convenience yield of y</t>
  </si>
  <si>
    <r>
      <t>δ</t>
    </r>
    <r>
      <rPr>
        <vertAlign val="subscript"/>
        <sz val="10"/>
        <rFont val="Times New Roman"/>
        <family val="1"/>
      </rPr>
      <t>y</t>
    </r>
  </si>
  <si>
    <t>Volatility of x</t>
  </si>
  <si>
    <r>
      <t>σ</t>
    </r>
    <r>
      <rPr>
        <vertAlign val="subscript"/>
        <sz val="10"/>
        <rFont val="Times New Roman"/>
        <family val="1"/>
      </rPr>
      <t>x</t>
    </r>
  </si>
  <si>
    <t>Volatility of y</t>
  </si>
  <si>
    <r>
      <t>σ</t>
    </r>
    <r>
      <rPr>
        <vertAlign val="subscript"/>
        <sz val="10"/>
        <rFont val="Times New Roman"/>
        <family val="1"/>
      </rPr>
      <t>y</t>
    </r>
  </si>
  <si>
    <t>Correlation x with y</t>
  </si>
  <si>
    <t>ρ</t>
  </si>
  <si>
    <t>Risk-free interest rate</t>
  </si>
  <si>
    <t>Operating cost for x</t>
  </si>
  <si>
    <r>
      <t>c</t>
    </r>
    <r>
      <rPr>
        <vertAlign val="subscript"/>
        <sz val="10"/>
        <rFont val="Times New Roman"/>
        <family val="1"/>
      </rPr>
      <t>x</t>
    </r>
  </si>
  <si>
    <t>Operating cost for y</t>
  </si>
  <si>
    <r>
      <t>c</t>
    </r>
    <r>
      <rPr>
        <vertAlign val="subscript"/>
        <sz val="10"/>
        <rFont val="Times New Roman"/>
        <family val="1"/>
      </rPr>
      <t>y</t>
    </r>
  </si>
  <si>
    <t>Switching cost from x to y</t>
  </si>
  <si>
    <r>
      <t>S</t>
    </r>
    <r>
      <rPr>
        <vertAlign val="subscript"/>
        <sz val="10"/>
        <rFont val="Times New Roman"/>
        <family val="1"/>
      </rPr>
      <t>12</t>
    </r>
  </si>
  <si>
    <t>Switching cost from y to x</t>
  </si>
  <si>
    <r>
      <t>S</t>
    </r>
    <r>
      <rPr>
        <vertAlign val="subscript"/>
        <sz val="10"/>
        <rFont val="Times New Roman"/>
        <family val="1"/>
      </rPr>
      <t>21</t>
    </r>
  </si>
  <si>
    <t>PV of revenues x</t>
  </si>
  <si>
    <t>LHS EQ5</t>
  </si>
  <si>
    <t>PV of revenues y</t>
  </si>
  <si>
    <t>Y</t>
  </si>
  <si>
    <t>LHS EQ7</t>
  </si>
  <si>
    <t>Switching boundary X to Y</t>
  </si>
  <si>
    <r>
      <t>x</t>
    </r>
    <r>
      <rPr>
        <vertAlign val="subscript"/>
        <sz val="10"/>
        <rFont val="Times New Roman"/>
        <family val="1"/>
      </rPr>
      <t>12</t>
    </r>
  </si>
  <si>
    <t>Switching boundary Y to X</t>
  </si>
  <si>
    <r>
      <t>x</t>
    </r>
    <r>
      <rPr>
        <vertAlign val="subscript"/>
        <sz val="10"/>
        <rFont val="Times New Roman"/>
        <family val="1"/>
      </rPr>
      <t>21</t>
    </r>
  </si>
  <si>
    <t>SOLUTION</t>
  </si>
  <si>
    <t>OPTION VALUE</t>
  </si>
  <si>
    <t>Asset value in operating mode '1'</t>
  </si>
  <si>
    <r>
      <t>V</t>
    </r>
    <r>
      <rPr>
        <b/>
        <vertAlign val="subscript"/>
        <sz val="10"/>
        <rFont val="Times New Roman"/>
        <family val="1"/>
      </rPr>
      <t>1</t>
    </r>
    <r>
      <rPr>
        <b/>
        <sz val="10"/>
        <rFont val="Times New Roman"/>
        <family val="1"/>
      </rPr>
      <t>(x,y)</t>
    </r>
  </si>
  <si>
    <t>Asset value in operating mode '2'</t>
  </si>
  <si>
    <r>
      <t>V</t>
    </r>
    <r>
      <rPr>
        <b/>
        <vertAlign val="subscript"/>
        <sz val="10"/>
        <rFont val="Times New Roman"/>
        <family val="1"/>
      </rPr>
      <t>2</t>
    </r>
    <r>
      <rPr>
        <b/>
        <sz val="10"/>
        <rFont val="Times New Roman"/>
        <family val="1"/>
      </rPr>
      <t>(x,y)</t>
    </r>
  </si>
  <si>
    <t>B</t>
  </si>
  <si>
    <t>Switching boundary x to y</t>
  </si>
  <si>
    <r>
      <t>y</t>
    </r>
    <r>
      <rPr>
        <vertAlign val="subscript"/>
        <sz val="10"/>
        <rFont val="Times New Roman"/>
        <family val="1"/>
      </rPr>
      <t xml:space="preserve">12 </t>
    </r>
    <r>
      <rPr>
        <sz val="10"/>
        <rFont val="Times New Roman"/>
        <family val="1"/>
      </rPr>
      <t>(x)</t>
    </r>
  </si>
  <si>
    <r>
      <t>y</t>
    </r>
    <r>
      <rPr>
        <vertAlign val="subscript"/>
        <sz val="10"/>
        <rFont val="Times New Roman"/>
        <family val="1"/>
      </rPr>
      <t xml:space="preserve">21 </t>
    </r>
    <r>
      <rPr>
        <sz val="10"/>
        <rFont val="Times New Roman"/>
        <family val="1"/>
      </rPr>
      <t>(x)</t>
    </r>
  </si>
  <si>
    <t>Solution quadrant</t>
  </si>
  <si>
    <r>
      <t>β</t>
    </r>
    <r>
      <rPr>
        <vertAlign val="subscript"/>
        <sz val="10"/>
        <rFont val="Times New Roman"/>
        <family val="1"/>
      </rPr>
      <t>11</t>
    </r>
  </si>
  <si>
    <t>must be negative</t>
  </si>
  <si>
    <r>
      <t>β</t>
    </r>
    <r>
      <rPr>
        <vertAlign val="subscript"/>
        <sz val="10"/>
        <rFont val="Times New Roman"/>
        <family val="1"/>
      </rPr>
      <t>12</t>
    </r>
  </si>
  <si>
    <t>must be positive</t>
  </si>
  <si>
    <r>
      <t>β</t>
    </r>
    <r>
      <rPr>
        <vertAlign val="subscript"/>
        <sz val="10"/>
        <rFont val="Times New Roman"/>
        <family val="1"/>
      </rPr>
      <t>21</t>
    </r>
  </si>
  <si>
    <r>
      <t>β</t>
    </r>
    <r>
      <rPr>
        <vertAlign val="subscript"/>
        <sz val="10"/>
        <rFont val="Times New Roman"/>
        <family val="1"/>
      </rPr>
      <t>22</t>
    </r>
  </si>
  <si>
    <t>EQUATIONS</t>
  </si>
  <si>
    <t>Value matching 1</t>
  </si>
  <si>
    <t>EQ9</t>
  </si>
  <si>
    <t>Value matching 2</t>
  </si>
  <si>
    <t>EQ10</t>
  </si>
  <si>
    <t>Smooth pasting 1A</t>
  </si>
  <si>
    <t>EQ11</t>
  </si>
  <si>
    <t>Smooth pasting 1B</t>
  </si>
  <si>
    <t>EQ12</t>
  </si>
  <si>
    <t>Smooth pasting 2A</t>
  </si>
  <si>
    <t>EQ13</t>
  </si>
  <si>
    <t>Smooth pasting 2B</t>
  </si>
  <si>
    <t>EQ14</t>
  </si>
  <si>
    <t>Solution quadrant 1</t>
  </si>
  <si>
    <t>EQ6</t>
  </si>
  <si>
    <t>Solution quadrant 2</t>
  </si>
  <si>
    <t>EQ8</t>
  </si>
  <si>
    <t>Sum</t>
  </si>
  <si>
    <t>SOLVER: SET C40=0, CHANGING C24:C31</t>
  </si>
  <si>
    <t>C29*C30-C28*C31</t>
  </si>
  <si>
    <t>Wedge x</t>
  </si>
  <si>
    <t>1-(C29-C31)/C43</t>
  </si>
  <si>
    <t>Wedge y</t>
  </si>
  <si>
    <t>1-(C30-C28)/C43</t>
  </si>
  <si>
    <t>EQ 15</t>
  </si>
  <si>
    <t>(C26/C6)*C45-(C19/C5)*C44-C15</t>
  </si>
  <si>
    <t>EQ 16</t>
  </si>
  <si>
    <t>(C20/C5)*C44-(C27/C6)*C45-C16</t>
  </si>
  <si>
    <t>(C24*C19^C28*C26^C29+C19/C5-C11/C10-C25*C19^C30*C26^C31-C26/C6+C12/C10+C15)</t>
  </si>
  <si>
    <t>(C24*C20^C28*C27^C29+C20/C5-C11/C10-C25*C20^C30*C27^C31-C27/C6+C12/C10-C16)</t>
  </si>
  <si>
    <t>(C28*C24*C19^(C28-1)*C26^C29+1/C5-C30*C25*C19^(C30-1)*C26^C31)</t>
  </si>
  <si>
    <t>(C29*C24*C19^C28*C26^(C29-1)-C31*C25*C19^C30*C26^(C31-1)-1/C6)</t>
  </si>
  <si>
    <t>(C28*C24*C20^(C28-1)*C27^C29+1/C5-C30*C25*C20^(C30-1)*C27^C31)</t>
  </si>
  <si>
    <t>(C29*C24*C20^C28*C27^(C29-1)-C31*C25*C20^C30*C27^(C31-1)-1/C6)</t>
  </si>
  <si>
    <t>0.5*C7^2*C28*(C28-1)+0.5*C8^2*C29*(C29-1)+C9*C7*C8*C28*C29+C28*(C10-C5)+C29*(C10-C6)-C10</t>
  </si>
  <si>
    <t>0.5*C7^2*C30*(C30-1)+0.5*C8^2*C31*(C31-1)+C9*C7*C8*C30*C31+C30*(C10-C5)+C31*(C10-C6)-C10</t>
  </si>
  <si>
    <t>SPREAD</t>
  </si>
  <si>
    <r>
      <t>V</t>
    </r>
    <r>
      <rPr>
        <vertAlign val="subscript"/>
        <sz val="10"/>
        <rFont val="Times New Roman"/>
        <family val="1"/>
      </rPr>
      <t>1</t>
    </r>
    <r>
      <rPr>
        <sz val="10"/>
        <rFont val="Times New Roman"/>
        <family val="1"/>
      </rPr>
      <t>(x,y)  EQ 5</t>
    </r>
  </si>
  <si>
    <t>C3/C5-C11/C10+C24*C3^C28*C4^C29</t>
  </si>
  <si>
    <r>
      <t>V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(x,y)  EQ 7</t>
    </r>
  </si>
  <si>
    <t>C4/C6-C12/C10+C25*C3^C30*C4^C31</t>
  </si>
  <si>
    <t>OUTPUT_SwitchFEB2011</t>
  </si>
  <si>
    <r>
      <t>σ</t>
    </r>
    <r>
      <rPr>
        <b/>
        <vertAlign val="subscript"/>
        <sz val="10"/>
        <color indexed="10"/>
        <rFont val="Times New Roman"/>
        <family val="1"/>
      </rPr>
      <t>x</t>
    </r>
  </si>
  <si>
    <t>Capacity x</t>
  </si>
  <si>
    <r>
      <t>p</t>
    </r>
    <r>
      <rPr>
        <vertAlign val="subscript"/>
        <sz val="10"/>
        <rFont val="Times New Roman"/>
        <family val="1"/>
      </rPr>
      <t>1</t>
    </r>
  </si>
  <si>
    <t>Capacity y</t>
  </si>
  <si>
    <r>
      <t>p</t>
    </r>
    <r>
      <rPr>
        <vertAlign val="subscript"/>
        <sz val="10"/>
        <rFont val="Times New Roman"/>
        <family val="1"/>
      </rPr>
      <t>2</t>
    </r>
  </si>
  <si>
    <r>
      <t>V</t>
    </r>
    <r>
      <rPr>
        <vertAlign val="subscript"/>
        <sz val="10"/>
        <rFont val="Times New Roman"/>
        <family val="1"/>
      </rPr>
      <t>1</t>
    </r>
    <r>
      <rPr>
        <sz val="10"/>
        <rFont val="Times New Roman"/>
        <family val="1"/>
      </rPr>
      <t>(x,y)</t>
    </r>
  </si>
  <si>
    <r>
      <t>V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(x,y)</t>
    </r>
  </si>
  <si>
    <r>
      <t>SPREAD y</t>
    </r>
    <r>
      <rPr>
        <vertAlign val="subscript"/>
        <sz val="10"/>
        <rFont val="Times New Roman"/>
        <family val="1"/>
      </rPr>
      <t>12</t>
    </r>
    <r>
      <rPr>
        <sz val="10"/>
        <rFont val="Times New Roman"/>
        <family val="1"/>
      </rPr>
      <t>-y</t>
    </r>
    <r>
      <rPr>
        <vertAlign val="subscript"/>
        <sz val="10"/>
        <rFont val="Times New Roman"/>
        <family val="1"/>
      </rPr>
      <t>21</t>
    </r>
  </si>
  <si>
    <t>SOLVER: SET I40=0, CHANGING C24:H31</t>
  </si>
  <si>
    <t>(C24*C19^C28*C26^C29+C13*C19/C5-C13*C11/C10-C25*C19^C30*C26^C31-C14*C26/C6+C14*C12/C10+C15)</t>
  </si>
  <si>
    <t>(C24*C20^C28*C27^C29+C13*C20/C5-C13*C11/C10-C25*C20^C30*C27^C31-C14*C27/C6+C14*C12/C10-C16)</t>
  </si>
  <si>
    <t>(C28*C24*C19^(C28-1)*C26^C29+C13/C5-C30*C25*C19^(C30-1)*C26^C31)</t>
  </si>
  <si>
    <t>(C29*C24*C19^C28*C26^(C29-1)-C31*C25*C19^C30*C26^(C31-1)-C14/C6)</t>
  </si>
  <si>
    <t>(C28*C24*C20^(C28-1)*C27^C29+C13/C5-C30*C25*C20^(C30-1)*C27^C31)</t>
  </si>
  <si>
    <t>(C29*C24*C20^C28*C27^(C29-1)-C31*C25*C20^C30*C27^(C31-1)-C14/C6)</t>
  </si>
  <si>
    <t>C13*C3/C5-C13*C11/C10+C24*C3^C28*C4^C29</t>
  </si>
  <si>
    <t>C14*C4/C6-C14*C12/C10+C25*C3^C30*C4^C31</t>
  </si>
  <si>
    <t>Continuous American Perpetual SINGLE SWITCH Option</t>
  </si>
  <si>
    <t xml:space="preserve">ONE WAY SWITCH FROM OUTPUT X TO Y </t>
  </si>
  <si>
    <t>EQ 19</t>
  </si>
  <si>
    <t>EQ 20</t>
  </si>
  <si>
    <t>EQ 21</t>
  </si>
  <si>
    <t>SOLVER: SET C31=0, CHANGING C22:C25</t>
  </si>
  <si>
    <t>(C22*C17^C24*C23^C25+C17/C5-C11/C10-C23/C6+C12/C10+C13)</t>
  </si>
  <si>
    <t>(C24*C22*C17^(C24-1)*C23^C25+1/C5)</t>
  </si>
  <si>
    <t>(C25*C22*C17^C24*C23^(C25-1)-1/C6)</t>
  </si>
  <si>
    <t>0.5*C7^2*C24*(C24-1)+0.5*C8^2*C25*(C25-1)+C9*C7*C8*C24*C25+C24*(C10-C5)+C25*(C10-C6)-C10</t>
  </si>
  <si>
    <t>C3/C5-C11/C10+C22*C3^C24*C4^C25</t>
  </si>
  <si>
    <t>C4/C6-C12/C10</t>
  </si>
  <si>
    <t>Continuous American Perpetual IN-OUT Exchange Option Non-homogeneous</t>
  </si>
  <si>
    <t>IN_OUT_JAN2011</t>
  </si>
  <si>
    <t>Switching boundary OP to SHUT</t>
  </si>
  <si>
    <t>Switching boundary SHUT to OP</t>
  </si>
  <si>
    <t>OPTION</t>
  </si>
  <si>
    <t>OPERATING</t>
  </si>
  <si>
    <t xml:space="preserve">Asset value in operating mode </t>
  </si>
  <si>
    <t>Asset value in shut down mode</t>
  </si>
  <si>
    <t>EQ 29</t>
  </si>
  <si>
    <t>(C24*C19^C28*C26^C29+C19/C5-C26/C6-C25*C19^C30*C26^C31+C15)</t>
  </si>
  <si>
    <t>EQ 30</t>
  </si>
  <si>
    <t>(C25*C20^C30*C27^C31-C24*C20^C28*C27^C29-C20/C5+C27/C6+C16)</t>
  </si>
  <si>
    <t>EQ 31</t>
  </si>
  <si>
    <t>(C28*C24*(C19^(C28-1))*C26^C29+1/C5-C30*C25*(C19^(C30-1))*C26^C31)</t>
  </si>
  <si>
    <t>EQ 32</t>
  </si>
  <si>
    <t>(C29*C24*C19^C28*(C26^(C29-1))-1/C6-C31*C25*C19^C30*(C26^(C31-1)))</t>
  </si>
  <si>
    <t>EQ 33</t>
  </si>
  <si>
    <t>(C30*C25*(C20^(C30-1))*C27^C31-C28*C24*(C20^(C28-1))*C27^C29-1/C5)</t>
  </si>
  <si>
    <t>EQ 34</t>
  </si>
  <si>
    <t>(C31*C25*C20^C30*(C27^(C31-1))-C29*C24*C20^C28*(C27^(C29-1))+1/C6)</t>
  </si>
  <si>
    <t>EQ 28</t>
  </si>
  <si>
    <t>(C24*C3^C28*C4^C29+C3/C5-C4/C6)</t>
  </si>
  <si>
    <t>(C25*C3^C30*C4^C31)</t>
  </si>
  <si>
    <r>
      <t>σ</t>
    </r>
    <r>
      <rPr>
        <b/>
        <vertAlign val="subscript"/>
        <sz val="10"/>
        <rFont val="Times New Roman"/>
        <family val="1"/>
      </rPr>
      <t>x</t>
    </r>
  </si>
  <si>
    <t>SHUT DOWN</t>
  </si>
  <si>
    <t>SOLVER: SET I41=0, CHANGING C24:H31</t>
  </si>
  <si>
    <t>(C24*C19^C28*C26^C29+C3/C5-C4/C6)</t>
  </si>
  <si>
    <t>(C25*C20^C30*C27^C31)</t>
  </si>
  <si>
    <t>SINGLE American Perpetual IN-OUT SWITCH Option Non-homogeneous</t>
  </si>
  <si>
    <t>EQ 35</t>
  </si>
  <si>
    <t>EQ 36</t>
  </si>
  <si>
    <t>EQ 37</t>
  </si>
  <si>
    <t>EQ 38</t>
  </si>
  <si>
    <t>SOLVER: SET C24=0, CHANGING C15:C18</t>
  </si>
  <si>
    <t>(C15*C3^C17*C4^C18+C3/C5-C4/C6)</t>
  </si>
  <si>
    <t>(C15*C12^C17*C16^C18+C12/C5-C16/C6+C11)</t>
  </si>
  <si>
    <t>(C17*C15*(C12^(C17-1))*C16^C18+1/C5)</t>
  </si>
  <si>
    <t>(C18*C15*C12^C17*(C16^(C18-1))-1/C6)</t>
  </si>
  <si>
    <t>0.5*C7^2*C17*(C17-1)+0.5*C8^2*C18*(C18-1)+C9*C7*C8*C17*C18+C17*(C10-C5)+C18*(C10-C6)-C10</t>
  </si>
  <si>
    <t>CHAPTER 6</t>
  </si>
  <si>
    <t>BJERKSUND &amp; EKERN</t>
  </si>
  <si>
    <t>VALUE_OILFIELD</t>
  </si>
  <si>
    <t>CHAPTER 7</t>
  </si>
  <si>
    <t>OUT_VOLATILITY</t>
  </si>
  <si>
    <t>OUT_SINGLE</t>
  </si>
  <si>
    <t>IN_OUT</t>
  </si>
  <si>
    <t>IN_OUT VOLATILITY</t>
  </si>
  <si>
    <t>SINGLE SWITCH</t>
  </si>
  <si>
    <t>IN_IN MULTIPLE</t>
  </si>
  <si>
    <t>IN_IN SINGLE</t>
  </si>
  <si>
    <t>Deterministic P &amp; C Drifts</t>
  </si>
  <si>
    <t>Stochastic P Only</t>
  </si>
  <si>
    <t>RENEWAL P STOCHASTIC</t>
  </si>
  <si>
    <t>As Function Volatility</t>
  </si>
  <si>
    <t>Best of Two Outputs: Multiple</t>
  </si>
  <si>
    <t>Best of Two Outputs: Single</t>
  </si>
  <si>
    <t>Stochastic In &amp; Output: Multiple</t>
  </si>
  <si>
    <t>Lowest of Two Inputs: Multiple</t>
  </si>
  <si>
    <t>Lowest of Two Inputs: Single</t>
  </si>
  <si>
    <t>8.5-8.6</t>
  </si>
  <si>
    <t>8.2-8.3</t>
  </si>
  <si>
    <t>ENTRY-EXIT</t>
  </si>
  <si>
    <t xml:space="preserve">STOC_INVEST </t>
  </si>
  <si>
    <t>ROV Entry (Price)</t>
  </si>
  <si>
    <t xml:space="preserve">ENTRY_EXIT_VOL </t>
  </si>
  <si>
    <t>ENTRY_EXIT OPTIONS</t>
  </si>
  <si>
    <t>ENTRY_EXIT OPTIONS (Volatility)</t>
  </si>
  <si>
    <t>1st Mover Advantage: Relative Profits vs. K</t>
  </si>
  <si>
    <t>1st Mover Advantage: Relative Profits vs.Vol.</t>
  </si>
  <si>
    <t>RENEWAL C STOCHASTIC</t>
  </si>
  <si>
    <t>Stochastic C Only</t>
  </si>
  <si>
    <t>STOC</t>
  </si>
  <si>
    <t>Stochastic C</t>
  </si>
  <si>
    <r>
      <t>Q</t>
    </r>
    <r>
      <rPr>
        <sz val="10"/>
        <rFont val="Symbol"/>
        <family val="1"/>
        <charset val="2"/>
      </rPr>
      <t>(b=0,h)</t>
    </r>
  </si>
  <si>
    <t>(0.5-B12/(B8^2))+SQRT((0.5-B12/(B8^2))^2+2*B10/(B8^2))-B21</t>
  </si>
  <si>
    <t>(B20/(B21*(B10-B12)))*(B21-1+((B4/B20)^B21))-B4/(B10-B12)-B5</t>
  </si>
  <si>
    <t>SET B17=0, CHANGING B20:B21.</t>
  </si>
  <si>
    <t xml:space="preserve">                                                                              EQUIPMENT RENEWAL: ANTICIPATED TECHNOLOGICAL PROGRESS</t>
  </si>
  <si>
    <r>
      <t>C</t>
    </r>
    <r>
      <rPr>
        <vertAlign val="subscript"/>
        <sz val="10"/>
        <rFont val="Arial"/>
        <family val="2"/>
      </rPr>
      <t>N</t>
    </r>
  </si>
  <si>
    <r>
      <t>q</t>
    </r>
    <r>
      <rPr>
        <vertAlign val="subscript"/>
        <sz val="10"/>
        <rFont val="Tahoma"/>
        <family val="2"/>
      </rPr>
      <t>N</t>
    </r>
  </si>
  <si>
    <t>SP1</t>
  </si>
  <si>
    <t>VM2</t>
  </si>
  <si>
    <t>VM1</t>
  </si>
  <si>
    <t>VM1PART 1</t>
  </si>
  <si>
    <t>VM2 PART 1</t>
  </si>
  <si>
    <t>SOLVER SUM</t>
  </si>
  <si>
    <r>
      <t>b</t>
    </r>
    <r>
      <rPr>
        <vertAlign val="subscript"/>
        <sz val="10"/>
        <rFont val="Symbol"/>
        <family val="1"/>
        <charset val="2"/>
      </rPr>
      <t>4</t>
    </r>
  </si>
  <si>
    <r>
      <t>h</t>
    </r>
    <r>
      <rPr>
        <vertAlign val="subscript"/>
        <sz val="10"/>
        <rFont val="Symbol"/>
        <family val="1"/>
        <charset val="2"/>
      </rPr>
      <t>4</t>
    </r>
  </si>
  <si>
    <t>g4</t>
  </si>
  <si>
    <r>
      <rPr>
        <sz val="10"/>
        <rFont val="Times New Roman"/>
        <family val="1"/>
      </rPr>
      <t>C</t>
    </r>
    <r>
      <rPr>
        <sz val="10"/>
        <rFont val="Symbol"/>
        <family val="1"/>
        <charset val="2"/>
      </rPr>
      <t>*N</t>
    </r>
  </si>
  <si>
    <t>EQ 11.36</t>
  </si>
  <si>
    <t>EQ 11.33</t>
  </si>
  <si>
    <t>EQ 11.34</t>
  </si>
  <si>
    <t>EQ 11.35</t>
  </si>
  <si>
    <t>CHANGING B29:B32</t>
  </si>
  <si>
    <t>PI=P0</t>
  </si>
  <si>
    <t>CN&lt;C0</t>
  </si>
  <si>
    <t>0.5*(B7^2)*B29*(B29-1)+0.5*(B8^2)*B30*(B30-1)+B9*B7*B8*B29*B30+B11*B29+B12*B30+B13*B31-B10</t>
  </si>
  <si>
    <t>B32/(B29*(B10-B11))+B6/(B30*(B10-B12))</t>
  </si>
  <si>
    <t>B25-B26*B27</t>
  </si>
  <si>
    <t>B21*B22-B23</t>
  </si>
  <si>
    <t>B6/(B30*(B10-B12))</t>
  </si>
  <si>
    <t>(1-((B3^B29)/(B32^B29))*((B33^B30)/(B6^B30)))</t>
  </si>
  <si>
    <t>((B3-B32)/(B10-B11)+(B6-B33)/(B10-B12)-B5)</t>
  </si>
  <si>
    <t>B19</t>
  </si>
  <si>
    <t>(B6-B33)/(B10-B12)</t>
  </si>
  <si>
    <t>((B30+B31)/(B30+B31-1))</t>
  </si>
  <si>
    <t>(B5-((B3-B32)/(B10-B11)))</t>
  </si>
  <si>
    <t>IF(B14&gt;B32,B36,B39)</t>
  </si>
  <si>
    <t>B37+B38</t>
  </si>
  <si>
    <t>((B16/B33)^B31)*((B15/B6)^B30)*((B14/B32)^B29)*(B32/(-B29*(B10-B11)))</t>
  </si>
  <si>
    <t>(B14/(B10-B11))-B15/(B10-B12)</t>
  </si>
  <si>
    <t>EQ 8</t>
  </si>
  <si>
    <t>BASICS</t>
  </si>
  <si>
    <t>STRATEGIES</t>
  </si>
  <si>
    <t>SCALE OPTIONS</t>
  </si>
  <si>
    <t>COMPETITIVE OPTIONS</t>
  </si>
  <si>
    <t>TOPIC</t>
  </si>
  <si>
    <t>RENEWALS</t>
  </si>
  <si>
    <t>SWITCHING</t>
  </si>
  <si>
    <t>EQ 6</t>
  </si>
  <si>
    <t xml:space="preserve">                              Multi-factor Single Renewal Option</t>
  </si>
  <si>
    <t>VM</t>
  </si>
  <si>
    <t>B6/(B21*(B10-B12))*(1-B20-B21)-(B3/(B10-B11))+(B4/(B10-B12))+B5</t>
  </si>
  <si>
    <t>SET B18=0,CHANGING B20:B22.</t>
  </si>
  <si>
    <t xml:space="preserve">                              Multi-factor Abandon Renewal Option</t>
  </si>
  <si>
    <t>EQ 17</t>
  </si>
  <si>
    <r>
      <rPr>
        <sz val="10"/>
        <rFont val="Symbol"/>
        <family val="1"/>
        <charset val="2"/>
      </rPr>
      <t>b+h</t>
    </r>
    <r>
      <rPr>
        <sz val="10"/>
        <rFont val="Tahoma"/>
        <family val="2"/>
      </rPr>
      <t>=1</t>
    </r>
  </si>
  <si>
    <t>11.2,11.5</t>
  </si>
  <si>
    <t>Stochastic P &amp; C: Multiple</t>
  </si>
  <si>
    <t>Stochastic P &amp; C: Single</t>
  </si>
  <si>
    <t>Stochastic P &amp; C: Abandon</t>
  </si>
  <si>
    <t>New Lower Renewal Cost</t>
  </si>
  <si>
    <t>#  Session</t>
  </si>
  <si>
    <t xml:space="preserve">DEBT STRATEGIES </t>
  </si>
  <si>
    <t>Sequential 3 Stage Matrix</t>
  </si>
  <si>
    <t>SEQUENTIAL MATRIX</t>
  </si>
  <si>
    <t>3 STAGES</t>
  </si>
  <si>
    <t>STAGE</t>
  </si>
  <si>
    <t>MEF</t>
  </si>
  <si>
    <t>V^</t>
  </si>
  <si>
    <r>
      <t>V^-</t>
    </r>
    <r>
      <rPr>
        <b/>
        <sz val="11"/>
        <color theme="1"/>
        <rFont val="Symbol"/>
        <family val="1"/>
        <charset val="2"/>
      </rPr>
      <t>S</t>
    </r>
    <r>
      <rPr>
        <b/>
        <sz val="11"/>
        <color theme="1"/>
        <rFont val="Calibri"/>
        <family val="2"/>
        <scheme val="minor"/>
      </rPr>
      <t>K</t>
    </r>
    <r>
      <rPr>
        <b/>
        <vertAlign val="subscript"/>
        <sz val="11"/>
        <color theme="1"/>
        <rFont val="Calibri"/>
        <family val="2"/>
        <scheme val="minor"/>
      </rPr>
      <t>N</t>
    </r>
  </si>
  <si>
    <t>Project value  V</t>
  </si>
  <si>
    <r>
      <rPr>
        <sz val="11"/>
        <color theme="1"/>
        <rFont val="Symbol"/>
        <family val="1"/>
        <charset val="2"/>
      </rPr>
      <t xml:space="preserve">q  </t>
    </r>
    <r>
      <rPr>
        <sz val="10"/>
        <rFont val="Arial"/>
        <family val="2"/>
      </rPr>
      <t>theta_V</t>
    </r>
  </si>
  <si>
    <t>sigma_V</t>
  </si>
  <si>
    <t xml:space="preserve">Stage 1 </t>
  </si>
  <si>
    <t>theta_K1</t>
  </si>
  <si>
    <t>sigma_K1</t>
  </si>
  <si>
    <t>Input the correlations:</t>
  </si>
  <si>
    <t>Failure probability: lambda</t>
  </si>
  <si>
    <t>K3</t>
  </si>
  <si>
    <t>Volatility</t>
  </si>
  <si>
    <t>Stage 2</t>
  </si>
  <si>
    <t>theta_K2</t>
  </si>
  <si>
    <t>sigma_K2</t>
  </si>
  <si>
    <t>Stage 3</t>
  </si>
  <si>
    <t>Assumes all V, K correlations are the same as in D10, Ks are not correlated.</t>
  </si>
  <si>
    <t>theta_K3</t>
  </si>
  <si>
    <t>sigma_K3</t>
  </si>
  <si>
    <t>Risk-free rate</t>
  </si>
  <si>
    <t>Threshold Levels</t>
  </si>
  <si>
    <t>K1^</t>
  </si>
  <si>
    <t>K2^</t>
  </si>
  <si>
    <t>K3^</t>
  </si>
  <si>
    <t>Calculations</t>
  </si>
  <si>
    <t>Variance-Covariance Matrix</t>
  </si>
  <si>
    <t>Analysis</t>
  </si>
  <si>
    <t>column vector with 2 elements</t>
  </si>
  <si>
    <t>wT (w transpose)</t>
  </si>
  <si>
    <t>TRANSPOSE(B31:B32)</t>
  </si>
  <si>
    <t>Var-Covar*w</t>
  </si>
  <si>
    <t>MMULT(B25:C26,B31:B32)</t>
  </si>
  <si>
    <t>sigma^2_1=wT*Var-Covar*w</t>
  </si>
  <si>
    <t>MMULT(B33:C33,B34:B35)</t>
  </si>
  <si>
    <t>vol_1</t>
  </si>
  <si>
    <t>SQRT(B36)</t>
  </si>
  <si>
    <t>theta_V - theta_K1</t>
  </si>
  <si>
    <t>B3-B6</t>
  </si>
  <si>
    <t>r + Lamda_1 - theta_K1</t>
  </si>
  <si>
    <t>B16+B8-B6</t>
  </si>
  <si>
    <t>T1</t>
  </si>
  <si>
    <t>0.5-B38/B36</t>
  </si>
  <si>
    <t>T2</t>
  </si>
  <si>
    <t>B40^2+2*B39/B36</t>
  </si>
  <si>
    <t>phi_1</t>
  </si>
  <si>
    <t>B40+SQRT(B41)</t>
  </si>
  <si>
    <t>phi_1/(phi_1 - 1)</t>
  </si>
  <si>
    <t>B42/(B42-1)</t>
  </si>
  <si>
    <t>beta_1</t>
  </si>
  <si>
    <t>B42</t>
  </si>
  <si>
    <t>eta_11</t>
  </si>
  <si>
    <t>1-B44</t>
  </si>
  <si>
    <t>V1^</t>
  </si>
  <si>
    <t>B43*B19</t>
  </si>
  <si>
    <t>((B42-1)^(B42-1))/(B42^B42)</t>
  </si>
  <si>
    <t>Mark-up Factor  MEF</t>
  </si>
  <si>
    <t>ROV 1</t>
  </si>
  <si>
    <t>IF(B2&lt;B46,B47*(B2^B44)*(B19^B45),MAX(B46-B19,0))</t>
  </si>
  <si>
    <t>column vector with 3 elements</t>
  </si>
  <si>
    <t>wT</t>
  </si>
  <si>
    <t>sigma^2_2=wT*Var-Covar*w</t>
  </si>
  <si>
    <t>MMULT(B54:D54,B55:B57)</t>
  </si>
  <si>
    <t>vol_2</t>
  </si>
  <si>
    <t>SQRT(B58)</t>
  </si>
  <si>
    <t>r + lambda_1 - theta_K2</t>
  </si>
  <si>
    <t>B16+B8-B10</t>
  </si>
  <si>
    <t>r + lambda_2 - theta_K2</t>
  </si>
  <si>
    <t>B16+B12-B10</t>
  </si>
  <si>
    <t>0.5-B60/B58</t>
  </si>
  <si>
    <t>B62^2+2*B61/B58</t>
  </si>
  <si>
    <t>phi_2</t>
  </si>
  <si>
    <t>B62+SQRT(B63)</t>
  </si>
  <si>
    <t>((B64-1)^(B64-1))/(B64^B64)</t>
  </si>
  <si>
    <t>beta_2</t>
  </si>
  <si>
    <t>B64*B44</t>
  </si>
  <si>
    <t>eta_21</t>
  </si>
  <si>
    <t>B64*B45</t>
  </si>
  <si>
    <t>eta_22</t>
  </si>
  <si>
    <t>1-B64</t>
  </si>
  <si>
    <t>V2^</t>
  </si>
  <si>
    <t>((B64*(B19^(B42-1))*B20)/(B47*(B64-1)))^(1/B42)</t>
  </si>
  <si>
    <t>B65*B47^B64</t>
  </si>
  <si>
    <t>ROV 2</t>
  </si>
  <si>
    <t>IF($B$2&lt;B69,B70*($B$2^B66)*($B$19^B67)*($B$20^B68),MAX(B69-B19-B20,0))</t>
  </si>
  <si>
    <t>Mark-up Factor_2</t>
  </si>
  <si>
    <t>(B64/(B47*(B64-1)))^(1/B44)</t>
  </si>
  <si>
    <t>V2^/(K1^+K2^)  MEF</t>
  </si>
  <si>
    <t>B69/(B19+B20)</t>
  </si>
  <si>
    <t>Check: V2^/K2^</t>
  </si>
  <si>
    <t>B69/B20</t>
  </si>
  <si>
    <t>column vector with 4 elements</t>
  </si>
  <si>
    <t>sigma^2_3=wT*Var-Covar*w</t>
  </si>
  <si>
    <t>MMULT(B80:E80,B81:B84)</t>
  </si>
  <si>
    <t>vol_3</t>
  </si>
  <si>
    <t>SQRT(B85)</t>
  </si>
  <si>
    <t>r + lambda_2 - theta_K3</t>
  </si>
  <si>
    <t>B16+B12-B14</t>
  </si>
  <si>
    <t>r + lambda_3 - theta_K3</t>
  </si>
  <si>
    <t>B16+B17-B14</t>
  </si>
  <si>
    <t>0.5-B87/B85</t>
  </si>
  <si>
    <t>B89^2+2*B88/B85</t>
  </si>
  <si>
    <t>phi_3</t>
  </si>
  <si>
    <t>B89+SQRT(B90)</t>
  </si>
  <si>
    <t>B3</t>
  </si>
  <si>
    <t>((B91-1)^(B91-1))/(B91^B91)</t>
  </si>
  <si>
    <t>beta_3</t>
  </si>
  <si>
    <t>B91*B66</t>
  </si>
  <si>
    <t>eta_31</t>
  </si>
  <si>
    <t>B91*B67</t>
  </si>
  <si>
    <t>eta_32</t>
  </si>
  <si>
    <t>B91*B68</t>
  </si>
  <si>
    <t>eta_33</t>
  </si>
  <si>
    <t>1-B91</t>
  </si>
  <si>
    <t>V3^</t>
  </si>
  <si>
    <t>((B91*(B19^(-B67))*(B20^(-B68))*B21)/(B70*(B91-1)))^(1/B66)</t>
  </si>
  <si>
    <t>A3</t>
  </si>
  <si>
    <t>B92*B70^B91</t>
  </si>
  <si>
    <t>ROV 3</t>
  </si>
  <si>
    <t>IF($B$2&lt;B97,B98*($B$2^B93)*($B$19^B94)*($B$20^B95)*($B$21^B96),MAX(B97-$B$19-$B$20-$B$21,0))</t>
  </si>
  <si>
    <t>Mark-up Factor_3</t>
  </si>
  <si>
    <t>(B91/(B70*(B91-1)))^(1/B66)</t>
  </si>
  <si>
    <t>V2^/(K1^+K2^+K3^)  MEF</t>
  </si>
  <si>
    <t>B97/(B19+B20+B21)</t>
  </si>
  <si>
    <t>B97/B21</t>
  </si>
  <si>
    <t>EURO_COM_CALL</t>
  </si>
  <si>
    <t>Geske Compound Two Stage Investment</t>
  </si>
  <si>
    <t>EURO_COM_EXCH</t>
  </si>
  <si>
    <t>European Compound Exchange Option</t>
  </si>
  <si>
    <t>3 STAGE SEQ</t>
  </si>
  <si>
    <t xml:space="preserve">                                       GESKE EUROPEAN COMPOUND CALL OPTION</t>
  </si>
  <si>
    <r>
      <t xml:space="preserve">DEVELOPMENT TIME </t>
    </r>
    <r>
      <rPr>
        <sz val="10"/>
        <rFont val="Symbol"/>
        <family val="1"/>
        <charset val="2"/>
      </rPr>
      <t>t</t>
    </r>
    <r>
      <rPr>
        <sz val="10"/>
        <rFont val="Tahoma"/>
        <family val="2"/>
      </rPr>
      <t>'</t>
    </r>
    <r>
      <rPr>
        <sz val="10"/>
        <rFont val="Arial"/>
        <family val="2"/>
      </rPr>
      <t xml:space="preserve"> </t>
    </r>
  </si>
  <si>
    <r>
      <t xml:space="preserve">INVESTMENT TIME    </t>
    </r>
    <r>
      <rPr>
        <sz val="10"/>
        <rFont val="Symbol"/>
        <family val="1"/>
        <charset val="2"/>
      </rPr>
      <t>t</t>
    </r>
    <r>
      <rPr>
        <sz val="10"/>
        <rFont val="Arial"/>
        <family val="2"/>
      </rPr>
      <t xml:space="preserve"> </t>
    </r>
  </si>
  <si>
    <t>INTEREST RATE</t>
  </si>
  <si>
    <t>V YIELD</t>
  </si>
  <si>
    <t>VALUE VOLATILITY</t>
  </si>
  <si>
    <t xml:space="preserve">V </t>
  </si>
  <si>
    <t xml:space="preserve">REAL OPTION VALUE </t>
  </si>
  <si>
    <t>B8*EXP(-B6*B4)*B26-B10*EXP(-B5*B4)*B27-B9*EXP(-B5*B3)*B25</t>
  </si>
  <si>
    <r>
      <t>t</t>
    </r>
    <r>
      <rPr>
        <sz val="10"/>
        <rFont val="Arial"/>
        <family val="2"/>
      </rPr>
      <t>-</t>
    </r>
    <r>
      <rPr>
        <sz val="10"/>
        <rFont val="Symbol"/>
        <family val="1"/>
        <charset val="2"/>
      </rPr>
      <t>t</t>
    </r>
    <r>
      <rPr>
        <sz val="10"/>
        <rFont val="Tahoma"/>
        <family val="2"/>
      </rPr>
      <t>'</t>
    </r>
    <r>
      <rPr>
        <sz val="10"/>
        <rFont val="Arial"/>
        <family val="2"/>
      </rPr>
      <t xml:space="preserve"> </t>
    </r>
  </si>
  <si>
    <t>B4-B3</t>
  </si>
  <si>
    <t>(LN(B13/B10)+((B5-B6+0.5*B7^2)*B12))/(B7*SQRT(B12))</t>
  </si>
  <si>
    <t>B14-B7*SQRT(B12)</t>
  </si>
  <si>
    <t>N1</t>
  </si>
  <si>
    <t>NORMSDIST(B14)</t>
  </si>
  <si>
    <t>N2</t>
  </si>
  <si>
    <t>EQ 7.4</t>
  </si>
  <si>
    <t>B13*EXP(-B6*B12)*B16-B10*EXP(-B5*B12)*B17</t>
  </si>
  <si>
    <t>EQ 7.4-D</t>
  </si>
  <si>
    <t>B18-B9</t>
  </si>
  <si>
    <r>
      <t>r(t</t>
    </r>
    <r>
      <rPr>
        <sz val="10"/>
        <rFont val="Tahoma"/>
        <family val="2"/>
      </rPr>
      <t>'</t>
    </r>
    <r>
      <rPr>
        <sz val="10"/>
        <rFont val="Symbol"/>
        <family val="1"/>
        <charset val="2"/>
      </rPr>
      <t>/t)</t>
    </r>
  </si>
  <si>
    <t>SQRT(B3/B4)</t>
  </si>
  <si>
    <t>d1,t1</t>
  </si>
  <si>
    <t>(LN(B8/B13)+(B5-B6+0.5*B7^2)*B3)/(B7*SQRT(B3))</t>
  </si>
  <si>
    <t>d1,t2</t>
  </si>
  <si>
    <t>(LN(B8/B10)+(B5-B6+0.5*B7^2)*B4)/(B7*SQRT(B4))</t>
  </si>
  <si>
    <t>d2,t1</t>
  </si>
  <si>
    <t>B21-B7*SQRT(B3)</t>
  </si>
  <si>
    <t>d2,t2</t>
  </si>
  <si>
    <t>B22-B7*SQRT(B4)</t>
  </si>
  <si>
    <t>NORMSDIST(B23)</t>
  </si>
  <si>
    <t>B1</t>
  </si>
  <si>
    <t>BiVariateNormalCDF(B21,B22,B20)</t>
  </si>
  <si>
    <t>BiVariateNormalCDF(B23,B24,B20)</t>
  </si>
  <si>
    <t>The first five inputs are the D and K timing estimates, the interest rate, and the</t>
  </si>
  <si>
    <t>value yield and volatility.</t>
  </si>
  <si>
    <t>The next three inputs are V, D and K estimates.</t>
  </si>
  <si>
    <r>
      <t>Real call option value assumes V* is the value above which D should be paid at</t>
    </r>
    <r>
      <rPr>
        <b/>
        <sz val="8"/>
        <rFont val="Symbol"/>
        <family val="1"/>
        <charset val="2"/>
      </rPr>
      <t xml:space="preserve"> t</t>
    </r>
    <r>
      <rPr>
        <b/>
        <vertAlign val="superscript"/>
        <sz val="8"/>
        <rFont val="Symbol"/>
        <family val="1"/>
        <charset val="2"/>
      </rPr>
      <t>,</t>
    </r>
    <r>
      <rPr>
        <b/>
        <sz val="8"/>
        <rFont val="Symbol"/>
        <family val="1"/>
        <charset val="2"/>
      </rPr>
      <t>.</t>
    </r>
  </si>
  <si>
    <t>USE TOOLS/SOLVER, SETTING B19=0 BY CHANGING B13.</t>
  </si>
  <si>
    <t xml:space="preserve">        EUROPEAN COMPOUND EXCHANGE OPTION</t>
  </si>
  <si>
    <t>K YIELD</t>
  </si>
  <si>
    <t>K VOLATILITY</t>
  </si>
  <si>
    <t>CORRELATION</t>
  </si>
  <si>
    <t>SQRT(B7^2+B8^2-2*B9*B7*B8)</t>
  </si>
  <si>
    <t>X=V/K</t>
  </si>
  <si>
    <t>B11/B13</t>
  </si>
  <si>
    <t>B11*EXP(-B5*B4)*B30-B13*EXP(-B6*B4)*B31-B12*EXP(-B6*B3)*B29</t>
  </si>
  <si>
    <t>(LN(B11/B13)+((B5-B6+0.5*B10^2)*B16))/(B10*SQRT(B16))</t>
  </si>
  <si>
    <t>B18-B10*SQRT(B16)</t>
  </si>
  <si>
    <t>NORMSDIST(B18)</t>
  </si>
  <si>
    <t>NORMSDIST(B19)</t>
  </si>
  <si>
    <t>EQ 7.10</t>
  </si>
  <si>
    <t>B17*EXP(-B5*B16)*B20-EXP(-B6*B16)*B21</t>
  </si>
  <si>
    <t>EQ 7.10-D/K</t>
  </si>
  <si>
    <t>B22-(B12/B13)</t>
  </si>
  <si>
    <t>(LN(B14/B17)+(B6-B5+0.5*B10^2)*B3)/(B10*SQRT(B3))</t>
  </si>
  <si>
    <t>(LN(B14)+(B6-B5+0.5*B10^2)*B4)/(B10*SQRT(B4))</t>
  </si>
  <si>
    <t>B25-B7*SQRT(B3)</t>
  </si>
  <si>
    <t>B26-B7*SQRT(B4)</t>
  </si>
  <si>
    <t>NORMSDIST(B27)</t>
  </si>
  <si>
    <t>BiVariateNormalCDF(B25,B26,B24)</t>
  </si>
  <si>
    <t>BiVariateNormalCDF(B27,B28,B24)</t>
  </si>
  <si>
    <t xml:space="preserve">The first five inputs are the D and K timing estimates, the </t>
  </si>
  <si>
    <t>value and cost yields and volatilities, and correlation.</t>
  </si>
  <si>
    <t>After calculating the exchange volatility, the next three inputs are V, D and K estimates.</t>
  </si>
  <si>
    <r>
      <t>Real call option value assumes X* is the value above which D should be paid at</t>
    </r>
    <r>
      <rPr>
        <b/>
        <sz val="8"/>
        <rFont val="Symbol"/>
        <family val="1"/>
        <charset val="2"/>
      </rPr>
      <t xml:space="preserve"> t</t>
    </r>
    <r>
      <rPr>
        <b/>
        <vertAlign val="superscript"/>
        <sz val="8"/>
        <rFont val="Symbol"/>
        <family val="1"/>
        <charset val="2"/>
      </rPr>
      <t>,</t>
    </r>
    <r>
      <rPr>
        <b/>
        <sz val="8"/>
        <rFont val="Symbol"/>
        <family val="1"/>
        <charset val="2"/>
      </rPr>
      <t>.</t>
    </r>
  </si>
  <si>
    <t>USE TOOLS/SOLVER, SETTING B23=0 BY CHANGING B17.</t>
  </si>
  <si>
    <t>ODE PROOF for DEBT CLAIM</t>
  </si>
  <si>
    <r>
      <t>m=</t>
    </r>
    <r>
      <rPr>
        <sz val="10"/>
        <rFont val="Tahoma"/>
        <family val="2"/>
      </rPr>
      <t>r</t>
    </r>
    <r>
      <rPr>
        <sz val="10"/>
        <rFont val="Symbol"/>
        <family val="1"/>
        <charset val="2"/>
      </rPr>
      <t>-d</t>
    </r>
  </si>
  <si>
    <t>r(f)</t>
  </si>
  <si>
    <r>
      <t>V</t>
    </r>
    <r>
      <rPr>
        <vertAlign val="subscript"/>
        <sz val="10"/>
        <rFont val="Tahoma"/>
        <family val="2"/>
      </rPr>
      <t>B</t>
    </r>
    <r>
      <rPr>
        <sz val="10"/>
        <rFont val="Tahoma"/>
        <family val="2"/>
      </rPr>
      <t xml:space="preserve">   </t>
    </r>
  </si>
  <si>
    <t>(1-B11)*(B5/B12)*(B16/(B16+1))</t>
  </si>
  <si>
    <t>D* (V)</t>
  </si>
  <si>
    <t>(B5/B12)+((1-B10)*B14-(B5/B12))*(B14^B16)*B4^-B16</t>
  </si>
  <si>
    <r>
      <t>(-b</t>
    </r>
    <r>
      <rPr>
        <vertAlign val="subscript"/>
        <sz val="10"/>
        <rFont val="Symbol"/>
        <family val="1"/>
        <charset val="2"/>
      </rPr>
      <t>2</t>
    </r>
    <r>
      <rPr>
        <sz val="10"/>
        <rFont val="Symbol"/>
        <family val="1"/>
        <charset val="2"/>
      </rPr>
      <t>)</t>
    </r>
  </si>
  <si>
    <t>-(0.5-(B12-B7)/(B9^2)-SQRT((0.5-(B12-B7)/(B9^2))^2+2*B12/(B9^2)))</t>
  </si>
  <si>
    <t xml:space="preserve">ODE </t>
  </si>
  <si>
    <t>0.5*(B9^2)*(B4^2)*B20+B12*B4*B19-B12*B15+B5</t>
  </si>
  <si>
    <t xml:space="preserve">D'(V) </t>
  </si>
  <si>
    <t>-B16*((1-B10)*B14-(B5/B12))*(1/B4)*(B14/B4)^B16</t>
  </si>
  <si>
    <t xml:space="preserve">D''(V)  </t>
  </si>
  <si>
    <t>((B16^2)+B16)*((1-B10)*B14-(B5/B12))*(1/(B4^2))*(B14/B4)^B16</t>
  </si>
  <si>
    <t>LELAND 1994</t>
  </si>
  <si>
    <t>VB   EQ14</t>
  </si>
  <si>
    <t>D* EQ7</t>
  </si>
  <si>
    <t>D* EQ15</t>
  </si>
  <si>
    <t>v(V) EQ16</t>
  </si>
  <si>
    <t>E(V) EQ17</t>
  </si>
  <si>
    <t>k</t>
  </si>
  <si>
    <t>NOM D</t>
  </si>
  <si>
    <t>PUT</t>
  </si>
  <si>
    <t>EQUITY</t>
  </si>
  <si>
    <t>L &amp; E</t>
  </si>
  <si>
    <t>(1-C11)*C5/(C12+0.5*C9^2)</t>
  </si>
  <si>
    <t>(C5/C12)+((1-C10)*C14-(C5/C12))*(C14^C22)*C4^-C22</t>
  </si>
  <si>
    <t>(C5/C12)*(1-((C5/C4)^C22)*C20)</t>
  </si>
  <si>
    <t>C4+(C11*C5/C12)*(1-((C5/C4)^C22)*C19)</t>
  </si>
  <si>
    <t>C4-(1-C11)*(C5/C12)*(1-((C5/C4)^C22)*C21)</t>
  </si>
  <si>
    <t>(1+C22+C10*(1-C11)*C22/C11)*C21</t>
  </si>
  <si>
    <t>(1+C22-(1-C10)*(1-C11)*C22)*C21</t>
  </si>
  <si>
    <t>(((1-C11)*C22/(C12*(1+C22)))^C22)*((1+C22)^-1)</t>
  </si>
  <si>
    <t>((C12-C7-0.5*(C9^2))+SQRT((C12-C7-0.5*(C9^2))^2+2*(C9^2)*C12))/(C9^2)</t>
  </si>
  <si>
    <t>Real Debt Strategy</t>
  </si>
  <si>
    <t>Figure 10.1</t>
  </si>
  <si>
    <t>BASE CASE</t>
  </si>
  <si>
    <t>ACCOUNTS</t>
  </si>
  <si>
    <t>REAL</t>
  </si>
  <si>
    <t>DEBT</t>
  </si>
  <si>
    <t>EQ</t>
  </si>
  <si>
    <t>BASE</t>
  </si>
  <si>
    <t>NOM V</t>
  </si>
  <si>
    <t>Coupon</t>
  </si>
  <si>
    <t>NOM Debt</t>
  </si>
  <si>
    <t>C10+(C16*C11/C17)*(1-(C10/C19)^-C20)-C15*C19*(C10/C19)^-C20</t>
  </si>
  <si>
    <t>D*</t>
  </si>
  <si>
    <t>(C11/C17)+((1-C15)*C19-(C11/C17))*(C19^C20)*C10^-C20</t>
  </si>
  <si>
    <t>E*</t>
  </si>
  <si>
    <t>C10-(1-C16)*(C11/C17)+((1-C16)*(C11/C17)-C19)*((C10/C19)^-C20)</t>
  </si>
  <si>
    <t>(1-C16)*(C11/C17)*(C20/(C20+1))</t>
  </si>
  <si>
    <t>-(0.5-(C17-C13)/(C14^2)-SQRT((0.5-(C17-C13)/(C14^2))^2+2*C17/(C14^2)))</t>
  </si>
  <si>
    <t>Real Debt Strategy a</t>
  </si>
  <si>
    <t>Figure 10.2</t>
  </si>
  <si>
    <t>Real Debt Strategy I</t>
  </si>
  <si>
    <t>Figure 10.10</t>
  </si>
  <si>
    <t>REAL 1</t>
  </si>
  <si>
    <t>REAL 2</t>
  </si>
  <si>
    <t>REAL 3</t>
  </si>
  <si>
    <t>REAL 4</t>
  </si>
  <si>
    <t>REAL 5</t>
  </si>
  <si>
    <t>REAL 6</t>
  </si>
  <si>
    <t>REAL 7</t>
  </si>
  <si>
    <t>REAL 8</t>
  </si>
  <si>
    <t>REAL 9</t>
  </si>
  <si>
    <t>WE CHOOSE</t>
  </si>
  <si>
    <t>YOU CHOOSE</t>
  </si>
  <si>
    <t>NEGOTIATE</t>
  </si>
  <si>
    <t>Retained Equity</t>
  </si>
  <si>
    <r>
      <t>V</t>
    </r>
    <r>
      <rPr>
        <vertAlign val="subscript"/>
        <sz val="10"/>
        <rFont val="Tahoma"/>
        <family val="2"/>
      </rPr>
      <t xml:space="preserve">B   </t>
    </r>
  </si>
  <si>
    <t>COUPON</t>
  </si>
  <si>
    <t>r*DEBT</t>
  </si>
  <si>
    <t>C17*B6</t>
  </si>
  <si>
    <t>DEFAULT LTV</t>
  </si>
  <si>
    <t>CURRENT LTV</t>
  </si>
  <si>
    <t>=DEBT/LTV MAX</t>
  </si>
  <si>
    <t>LTV MAX</t>
  </si>
  <si>
    <t>SHARED EQUITY</t>
  </si>
  <si>
    <t>DEBT LOSS + SH EQ</t>
  </si>
  <si>
    <t>CHANGE DEBT LOSS</t>
  </si>
  <si>
    <t>SOLVER SUM(ABS(E33:K33))=0, CHANGE E29:K29.</t>
  </si>
  <si>
    <t>Real Debt Strategy Simple</t>
  </si>
  <si>
    <t>Figure 10.12</t>
  </si>
  <si>
    <t>C10-C15*C19*(C19/C10)^C20</t>
  </si>
  <si>
    <t>B6+((1-C15)*C19-B6)*(C19/C10)^C20</t>
  </si>
  <si>
    <t>C5-C6</t>
  </si>
  <si>
    <t>10.1a</t>
  </si>
  <si>
    <t>ODE PROOF</t>
  </si>
  <si>
    <t>Option to Default</t>
  </si>
  <si>
    <t>10.1b</t>
  </si>
  <si>
    <t>V DELTA</t>
  </si>
  <si>
    <t>10.1f</t>
  </si>
  <si>
    <t>BASE CASE DEBT</t>
  </si>
  <si>
    <t>FAIR STRATEGY</t>
  </si>
  <si>
    <t>SIMPLE STRATEGY</t>
  </si>
  <si>
    <t>Personal Equity &amp; Debt &amp; Bankruptcy</t>
  </si>
  <si>
    <t>Equity &amp; Debt &amp; Bankruptcy: Renegotiation</t>
  </si>
  <si>
    <t>STRATEGY a</t>
  </si>
  <si>
    <t>REAL OPTIONS 14/REAL OPTION VALUE_EXCEL_2_14.xls</t>
  </si>
  <si>
    <t>SEQUENTIAL INVESTMENTS (UNDER REVISION)</t>
  </si>
  <si>
    <t>MF INVESTMENT OPTION (UNDER REVISION)</t>
  </si>
  <si>
    <t>FINITE AMERICAN OPTION (UNDER REVISION)</t>
  </si>
  <si>
    <t>REAL INVESTMENT GROWTH OPTION</t>
  </si>
  <si>
    <t>Perpetual American Option ODE</t>
  </si>
  <si>
    <t>Convenience yield</t>
  </si>
  <si>
    <t>Extraction cost X</t>
  </si>
  <si>
    <t>Volatility σ</t>
  </si>
  <si>
    <t>σ^2</t>
  </si>
  <si>
    <t>Holding cost h</t>
  </si>
  <si>
    <r>
      <t xml:space="preserve">Royalty, </t>
    </r>
    <r>
      <rPr>
        <sz val="11"/>
        <rFont val="Symbol"/>
        <family val="1"/>
        <charset val="2"/>
      </rPr>
      <t>t</t>
    </r>
  </si>
  <si>
    <t>0.5-(B7-B9-B10)/B6</t>
  </si>
  <si>
    <t>B13^2+2*(B7-B10)/B6</t>
  </si>
  <si>
    <t>B13+SQRT(B14)</t>
  </si>
  <si>
    <t>B13-SQRT(B14)</t>
  </si>
  <si>
    <t>B8/B7</t>
  </si>
  <si>
    <t>-2*B7/B6</t>
  </si>
  <si>
    <t>W</t>
  </si>
  <si>
    <t xml:space="preserve">                      Improved Tourinho Model: Option to invest with holding cost &amp; conyield</t>
  </si>
  <si>
    <t>Oil price V</t>
  </si>
  <si>
    <t>X Escalation  Rate, g</t>
  </si>
  <si>
    <r>
      <t xml:space="preserve">V drift, </t>
    </r>
    <r>
      <rPr>
        <sz val="11"/>
        <rFont val="Symbol"/>
        <family val="1"/>
        <charset val="2"/>
      </rPr>
      <t>a</t>
    </r>
  </si>
  <si>
    <t>Allows for X escalation and royalities</t>
  </si>
  <si>
    <t>TOURINHO 79</t>
  </si>
  <si>
    <t>DP 2011 Version</t>
  </si>
  <si>
    <t>H</t>
  </si>
  <si>
    <t>-2*B4/B6</t>
  </si>
  <si>
    <t>(1-(1-B4*B8/B7)^((B10-1)/B10))^-1</t>
  </si>
  <si>
    <t>-B11/(B10*B14^(B10-1))</t>
  </si>
  <si>
    <t>(B10/(B10-1))*(B8-B7/B4)*(1/(1-B11))</t>
  </si>
  <si>
    <t>(B10/(B10-1))*(B7/B4)*(1/B11)</t>
  </si>
  <si>
    <t xml:space="preserve">(H/r)-X </t>
  </si>
  <si>
    <t>Z&lt;S&lt;W</t>
  </si>
  <si>
    <t>B11*B3+B12*B3^B10-B7/B4</t>
  </si>
  <si>
    <t>IF(B3&lt;B14,0,(IF(B3&gt;B13,B16,B17)))</t>
  </si>
  <si>
    <t>C(V)</t>
  </si>
  <si>
    <t>MAX(V-X,0)</t>
  </si>
  <si>
    <t>V*(1-t)</t>
  </si>
  <si>
    <t>B20*(1-B11)</t>
  </si>
  <si>
    <t>(-B16/(B15-B16))*B17/B21^B15</t>
  </si>
  <si>
    <t>(-B15/B16)*B22*B21^(B15-B16)</t>
  </si>
  <si>
    <t>B22*(B3^B15)+B23*(B3^B16)-B8/B7</t>
  </si>
  <si>
    <t>B22*(B3^B15)+B23*(B3^B16)+(B20*B11-B8/B7)*(B3/B20)^(B7/(B12-0.5*(B6)))</t>
  </si>
  <si>
    <t>(-B16/(1-B16))*(B4-B17*(1-(B20/B21)^B15))-B19</t>
  </si>
  <si>
    <t>(B15/(B15-1))*(B4-B17*(1-(B20/B21)^B16))-B19</t>
  </si>
  <si>
    <t>SOLVER  SET B28=0, CHANGING B20:B21</t>
  </si>
  <si>
    <t>TOURINHO MODEL I</t>
  </si>
  <si>
    <t>TOURINHO MODEL I &amp; V*</t>
  </si>
  <si>
    <t>American Perpetual Call Option</t>
  </si>
  <si>
    <t>Real American Perpetual Call Option + Holding Cost</t>
  </si>
  <si>
    <t>MODIFIED TOURINHO MODEL II</t>
  </si>
  <si>
    <t>Optimal Package for Real Option Writer</t>
  </si>
  <si>
    <t>Real American Perpetual Call Option + Thresholds</t>
  </si>
  <si>
    <r>
      <t>β</t>
    </r>
    <r>
      <rPr>
        <vertAlign val="subscript"/>
        <sz val="11"/>
        <rFont val="Arial"/>
        <family val="2"/>
      </rPr>
      <t>1</t>
    </r>
  </si>
  <si>
    <r>
      <t>β</t>
    </r>
    <r>
      <rPr>
        <vertAlign val="subscript"/>
        <sz val="11"/>
        <rFont val="Arial"/>
        <family val="2"/>
      </rPr>
      <t>2</t>
    </r>
  </si>
  <si>
    <t>h/r</t>
  </si>
  <si>
    <r>
      <rPr>
        <sz val="10"/>
        <rFont val="Symbol"/>
        <family val="1"/>
        <charset val="2"/>
      </rPr>
      <t>b</t>
    </r>
    <r>
      <rPr>
        <vertAlign val="subscript"/>
        <sz val="10"/>
        <rFont val="Arial"/>
        <family val="2"/>
      </rPr>
      <t>12</t>
    </r>
  </si>
  <si>
    <t>V(V)  EQ 14</t>
  </si>
  <si>
    <t>EQ C9</t>
  </si>
  <si>
    <t>EQ C10</t>
  </si>
  <si>
    <t>ABS(B26)+ABS(B27)</t>
  </si>
  <si>
    <t>TWO OUTPUTS</t>
  </si>
  <si>
    <t>IN-OUT</t>
  </si>
  <si>
    <t>TWO INPUTS</t>
  </si>
  <si>
    <t>MULTIPLE</t>
  </si>
  <si>
    <t xml:space="preserve">  PRODUCTION</t>
  </si>
  <si>
    <t xml:space="preserve">  V1</t>
  </si>
  <si>
    <t xml:space="preserve">  V2</t>
  </si>
  <si>
    <t xml:space="preserve">  SPREAD</t>
  </si>
  <si>
    <t>SINGLE</t>
  </si>
  <si>
    <t xml:space="preserve">                         Multiple American Perpetual Input Switch Option</t>
  </si>
  <si>
    <t>INPUT x</t>
  </si>
  <si>
    <t>INPUT y</t>
  </si>
  <si>
    <t>Output price for x</t>
  </si>
  <si>
    <r>
      <t>p</t>
    </r>
    <r>
      <rPr>
        <vertAlign val="subscript"/>
        <sz val="10"/>
        <rFont val="Times New Roman"/>
        <family val="1"/>
      </rPr>
      <t>x</t>
    </r>
  </si>
  <si>
    <t>Output price for y</t>
  </si>
  <si>
    <r>
      <t>p</t>
    </r>
    <r>
      <rPr>
        <vertAlign val="subscript"/>
        <sz val="10"/>
        <rFont val="Times New Roman"/>
        <family val="1"/>
      </rPr>
      <t>y</t>
    </r>
  </si>
  <si>
    <t>PV of revenues using x</t>
  </si>
  <si>
    <t>PV of revenues using y</t>
  </si>
  <si>
    <t>Switching boundary y to x</t>
  </si>
  <si>
    <t>EQ47</t>
  </si>
  <si>
    <t>EQ48</t>
  </si>
  <si>
    <t>EQ49</t>
  </si>
  <si>
    <t>EQ50</t>
  </si>
  <si>
    <t>EQ51</t>
  </si>
  <si>
    <t>EQ52</t>
  </si>
  <si>
    <t>EQ44</t>
  </si>
  <si>
    <t>EQ46</t>
  </si>
  <si>
    <t>(C24*C19^C28*C26^C29-C19/C5+C11/C10-C25*C19^C30*C26^C31+C26/C6-C12/C10+C15)</t>
  </si>
  <si>
    <t>(C24*C20^C28*C27^C29-C20/C5+C11/C10-C25*C20^C30*C27^C31+C27/C6-C12/C10-C16)</t>
  </si>
  <si>
    <t>(C28*C24*C19^(C28-1)*C26^C29-1/C5-C30*C25*C19^(C30-1)*C26^C31)</t>
  </si>
  <si>
    <t>(C29*C24*C19^C28*C26^(C29-1)-C31*C25*C19^C30*C26^(C31-1)+1/C6)</t>
  </si>
  <si>
    <t>(C28*C24*C20^(C28-1)*C27^C29-1/C5-C30*C25*C20^(C30-1)*C27^C31)</t>
  </si>
  <si>
    <t>(C29*C24*C20^C28*C27^(C29-1)-C31*C25*C20^C30*C27^(C31-1)+1/C6)</t>
  </si>
  <si>
    <r>
      <t>V</t>
    </r>
    <r>
      <rPr>
        <vertAlign val="sub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(x,y)  </t>
    </r>
  </si>
  <si>
    <t>-C3/C5+C11/C10+C24*C3^C28*C4^C29</t>
  </si>
  <si>
    <r>
      <t>V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(x,y)  </t>
    </r>
  </si>
  <si>
    <t>-C4/C6+C12/C10+C25*C3^C30*C4^C31</t>
  </si>
  <si>
    <t>SOLVER: SET I42=0, CHANGING C24:H31</t>
  </si>
  <si>
    <t>EQ 52</t>
  </si>
  <si>
    <t>EQ 53</t>
  </si>
  <si>
    <t>EQ 54</t>
  </si>
  <si>
    <t>EQ 55</t>
  </si>
  <si>
    <t>C22*C17^C24*C23^C25-C17/C5+C11/C10+C23/C6-C12/C10+C13</t>
  </si>
  <si>
    <t>C24*C22*C17^(C24-1)*C23^C25-1/C5</t>
  </si>
  <si>
    <t>C25*C22*C17^C24*C23^(C25-1)+1/C6</t>
  </si>
  <si>
    <t>-C3/C5+C11/C10+C22*C3^C24*C4^C25</t>
  </si>
  <si>
    <t>-C4/C6+C12/C10</t>
  </si>
  <si>
    <t xml:space="preserve">                         Multiple American Perpetual Input Switching Option</t>
  </si>
  <si>
    <t xml:space="preserve">ONE WAY SWITCH FROM INPUT x TO y </t>
  </si>
  <si>
    <t>Multiple/Single</t>
  </si>
  <si>
    <t>OUTPUT x</t>
  </si>
  <si>
    <t>OUTPUT y</t>
  </si>
  <si>
    <t>STAGE ONE-TWO</t>
  </si>
  <si>
    <t>Sequential 2 Stage Solver Solution</t>
  </si>
  <si>
    <t>STAGE ONE-TWO MATRIX</t>
  </si>
  <si>
    <t>Sequential 2 Stage Matrix Solution</t>
  </si>
  <si>
    <t>2 STAGES</t>
  </si>
  <si>
    <t>T</t>
  </si>
  <si>
    <r>
      <t>V^-</t>
    </r>
    <r>
      <rPr>
        <b/>
        <sz val="11"/>
        <color indexed="8"/>
        <rFont val="Symbol"/>
        <family val="1"/>
        <charset val="2"/>
      </rPr>
      <t>S</t>
    </r>
    <r>
      <rPr>
        <b/>
        <sz val="11"/>
        <color indexed="8"/>
        <rFont val="Calibri"/>
        <family val="2"/>
      </rPr>
      <t>K</t>
    </r>
    <r>
      <rPr>
        <b/>
        <vertAlign val="subscript"/>
        <sz val="11"/>
        <color indexed="8"/>
        <rFont val="Calibri"/>
        <family val="2"/>
      </rPr>
      <t>N</t>
    </r>
  </si>
  <si>
    <r>
      <rPr>
        <sz val="11"/>
        <color indexed="8"/>
        <rFont val="Symbol"/>
        <family val="1"/>
        <charset val="2"/>
      </rPr>
      <t xml:space="preserve">q  </t>
    </r>
    <r>
      <rPr>
        <sz val="10"/>
        <rFont val="Arial"/>
      </rPr>
      <t>V</t>
    </r>
  </si>
  <si>
    <r>
      <rPr>
        <sz val="11"/>
        <color indexed="8"/>
        <rFont val="Symbol"/>
        <family val="1"/>
        <charset val="2"/>
      </rPr>
      <t>s</t>
    </r>
    <r>
      <rPr>
        <sz val="10"/>
        <rFont val="Arial"/>
      </rPr>
      <t xml:space="preserve"> V</t>
    </r>
  </si>
  <si>
    <r>
      <t xml:space="preserve">q </t>
    </r>
    <r>
      <rPr>
        <sz val="11"/>
        <color indexed="8"/>
        <rFont val="Tahoma"/>
        <family val="2"/>
      </rPr>
      <t>K1</t>
    </r>
  </si>
  <si>
    <r>
      <rPr>
        <sz val="11"/>
        <color indexed="8"/>
        <rFont val="Symbol"/>
        <family val="1"/>
        <charset val="2"/>
      </rPr>
      <t>s</t>
    </r>
    <r>
      <rPr>
        <sz val="10"/>
        <rFont val="Arial"/>
      </rPr>
      <t xml:space="preserve"> K1</t>
    </r>
  </si>
  <si>
    <r>
      <t xml:space="preserve">Failure probability: </t>
    </r>
    <r>
      <rPr>
        <sz val="11"/>
        <color indexed="8"/>
        <rFont val="Symbol"/>
        <family val="1"/>
        <charset val="2"/>
      </rPr>
      <t>l</t>
    </r>
  </si>
  <si>
    <t>Assumes all V, K correlations are the same as in E10, Ks are not correlated.</t>
  </si>
  <si>
    <r>
      <t xml:space="preserve">q </t>
    </r>
    <r>
      <rPr>
        <sz val="11"/>
        <color indexed="8"/>
        <rFont val="Tahoma"/>
        <family val="2"/>
      </rPr>
      <t>K2</t>
    </r>
  </si>
  <si>
    <r>
      <t>T</t>
    </r>
    <r>
      <rPr>
        <vertAlign val="subscript"/>
        <sz val="10"/>
        <rFont val="Arial"/>
        <family val="2"/>
      </rPr>
      <t>2</t>
    </r>
  </si>
  <si>
    <t>(1/($B$14-$B$3))*LN(G3/$B$2)/2</t>
  </si>
  <si>
    <r>
      <rPr>
        <sz val="11"/>
        <color indexed="8"/>
        <rFont val="Symbol"/>
        <family val="1"/>
        <charset val="2"/>
      </rPr>
      <t>s</t>
    </r>
    <r>
      <rPr>
        <sz val="10"/>
        <rFont val="Arial"/>
      </rPr>
      <t xml:space="preserve"> K2</t>
    </r>
  </si>
  <si>
    <t>B40*B16</t>
  </si>
  <si>
    <t>((B39-1)^(B39-1))/(B39^B39)</t>
  </si>
  <si>
    <t>B39/(B39-1)</t>
  </si>
  <si>
    <t>IF(B2&lt;B43,B44*(B2^B41)*(B16^B42),MAX(B43-B16,0))</t>
  </si>
  <si>
    <t>((B61-1)^(B61-1))/(B61^B61)</t>
  </si>
  <si>
    <t>((B61*(B16^(B39-1))*B17)/(B44*(B61-1)))^(1/B39)</t>
  </si>
  <si>
    <t>B62*B44^B61</t>
  </si>
  <si>
    <t>IF($B$2&lt;B66,B67*($B$2^B63)*($B$16^B64)*($B$17^B65),MAX(B36-B16,0))</t>
  </si>
  <si>
    <t>STAGE ONE</t>
  </si>
  <si>
    <t>STAGE TWO</t>
  </si>
  <si>
    <r>
      <t>s</t>
    </r>
    <r>
      <rPr>
        <sz val="12"/>
        <rFont val="Tahoma"/>
        <family val="2"/>
      </rPr>
      <t>V</t>
    </r>
  </si>
  <si>
    <r>
      <t>s</t>
    </r>
    <r>
      <rPr>
        <sz val="10"/>
        <rFont val="Tahoma"/>
        <family val="2"/>
      </rPr>
      <t>V</t>
    </r>
  </si>
  <si>
    <t>sK1</t>
  </si>
  <si>
    <r>
      <t>h</t>
    </r>
    <r>
      <rPr>
        <b/>
        <vertAlign val="subscript"/>
        <sz val="11"/>
        <color indexed="8"/>
        <rFont val="Symbol"/>
        <family val="1"/>
        <charset val="2"/>
      </rPr>
      <t>1</t>
    </r>
  </si>
  <si>
    <r>
      <t>h</t>
    </r>
    <r>
      <rPr>
        <b/>
        <vertAlign val="subscript"/>
        <sz val="11"/>
        <color indexed="8"/>
        <rFont val="Symbol"/>
        <family val="1"/>
        <charset val="2"/>
      </rPr>
      <t>2</t>
    </r>
  </si>
  <si>
    <t>sK2</t>
  </si>
  <si>
    <r>
      <t xml:space="preserve">r </t>
    </r>
    <r>
      <rPr>
        <sz val="12"/>
        <rFont val="Tahoma"/>
        <family val="2"/>
      </rPr>
      <t>VK1</t>
    </r>
  </si>
  <si>
    <r>
      <t xml:space="preserve">r </t>
    </r>
    <r>
      <rPr>
        <sz val="10"/>
        <rFont val="Tahoma"/>
        <family val="2"/>
      </rPr>
      <t>VK1</t>
    </r>
  </si>
  <si>
    <r>
      <t xml:space="preserve">r </t>
    </r>
    <r>
      <rPr>
        <sz val="12"/>
        <rFont val="Tahoma"/>
        <family val="2"/>
      </rPr>
      <t>VK2</t>
    </r>
  </si>
  <si>
    <r>
      <t xml:space="preserve">r </t>
    </r>
    <r>
      <rPr>
        <sz val="10"/>
        <rFont val="Tahoma"/>
        <family val="2"/>
      </rPr>
      <t>VK2</t>
    </r>
  </si>
  <si>
    <r>
      <t xml:space="preserve">r </t>
    </r>
    <r>
      <rPr>
        <sz val="12"/>
        <rFont val="Tahoma"/>
        <family val="2"/>
      </rPr>
      <t>K1K2</t>
    </r>
  </si>
  <si>
    <r>
      <t xml:space="preserve">r </t>
    </r>
    <r>
      <rPr>
        <sz val="10"/>
        <rFont val="Tahoma"/>
        <family val="2"/>
      </rPr>
      <t>K1K2</t>
    </r>
  </si>
  <si>
    <r>
      <t>q</t>
    </r>
    <r>
      <rPr>
        <sz val="12"/>
        <rFont val="Tahoma"/>
        <family val="2"/>
      </rPr>
      <t>V</t>
    </r>
  </si>
  <si>
    <r>
      <t>q</t>
    </r>
    <r>
      <rPr>
        <sz val="10"/>
        <rFont val="Tahoma"/>
        <family val="2"/>
      </rPr>
      <t>V</t>
    </r>
  </si>
  <si>
    <t>qK1</t>
  </si>
  <si>
    <t>qK2</t>
  </si>
  <si>
    <t>l1</t>
  </si>
  <si>
    <t>l2</t>
  </si>
  <si>
    <r>
      <t>s1</t>
    </r>
    <r>
      <rPr>
        <sz val="12"/>
        <rFont val="Tahoma"/>
        <family val="2"/>
      </rPr>
      <t>^</t>
    </r>
    <r>
      <rPr>
        <sz val="12"/>
        <rFont val="Symbol"/>
        <family val="1"/>
        <charset val="2"/>
      </rPr>
      <t>2</t>
    </r>
  </si>
  <si>
    <r>
      <t>s2</t>
    </r>
    <r>
      <rPr>
        <sz val="10"/>
        <rFont val="Tahoma"/>
        <family val="2"/>
      </rPr>
      <t>^</t>
    </r>
    <r>
      <rPr>
        <sz val="10"/>
        <rFont val="Symbol"/>
        <family val="1"/>
        <charset val="2"/>
      </rPr>
      <t>2</t>
    </r>
  </si>
  <si>
    <r>
      <t>Q</t>
    </r>
    <r>
      <rPr>
        <sz val="12"/>
        <rFont val="Symbol"/>
        <family val="1"/>
        <charset val="2"/>
      </rPr>
      <t>(b,h)</t>
    </r>
  </si>
  <si>
    <t>0.5*(C18)*C34*(C34-1)+C34*(C12+C16-C15)-(C12+C17-C15)</t>
  </si>
  <si>
    <t>C27*C26*(C29^(C27-1))*(C31^C28)*(C32^C30)-B27*B26*(C29^(B27-1))*(C31^(1-B27))</t>
  </si>
  <si>
    <t>SP2</t>
  </si>
  <si>
    <t>C28*C26*(C29^C27)*(C31^(C28-1))*(C32^C30)-(1-B27)*B26*(C29^B27)*(C31^(-B27))</t>
  </si>
  <si>
    <t>SP3</t>
  </si>
  <si>
    <t>C30*C26*(C29^C27)*(C31^C28)*(C32^(C30-1))+1</t>
  </si>
  <si>
    <t>C26*(C29^C27)*(C31^C28)*(C32^C30)-B26*(C29^B27)*(C31^(1-B27))+C32</t>
  </si>
  <si>
    <t>SOLVER: SET D25=0, CHANGING B26:C30</t>
  </si>
  <si>
    <t>b2</t>
  </si>
  <si>
    <t>h12</t>
  </si>
  <si>
    <t>h2,1</t>
  </si>
  <si>
    <t>V1*</t>
  </si>
  <si>
    <t>V2*</t>
  </si>
  <si>
    <t>h2,2</t>
  </si>
  <si>
    <t>K1*</t>
  </si>
  <si>
    <t>K2*</t>
  </si>
  <si>
    <t>f2</t>
  </si>
  <si>
    <t>IF(C3&lt;C29,C26*(C3^C27)*(C4^C28)*(C5^C30),C3-C31-C32)</t>
  </si>
  <si>
    <t>0.5*(B18)*B27*(B27-1)+B27*(B13-B14)-(B12+B16-B14)</t>
  </si>
  <si>
    <t>B27*B26*(B29^(B27-1))*(B31^B28)-1</t>
  </si>
  <si>
    <t>B28*B26*(B29^B27)*(B31^(B28-1))+1</t>
  </si>
  <si>
    <t>B26*(B29^B27)*(B31^B28)-(B29-B31)</t>
  </si>
  <si>
    <t>IF(B3&lt;B29,B26*(B3^B27)*(B4^B28),B27-B31)</t>
  </si>
  <si>
    <t>(B27^2)*(C6^2)+((1-B27)^2)*(C7^2)+(C8^2)+2*B27*(1-B27)*C9*C6*C7-2*B27*C10*C6*C8-2*(1-B27)*C11*C7*C8</t>
  </si>
  <si>
    <t># Session</t>
  </si>
  <si>
    <t>#5 Session</t>
  </si>
  <si>
    <t>#3  Session</t>
  </si>
  <si>
    <t>#4 Session</t>
  </si>
  <si>
    <t xml:space="preserve">                                                         GUIDE TO REAL OPTION VALUE_ EXCEL FILES in LISBON</t>
  </si>
</sst>
</file>

<file path=xl/styles.xml><?xml version="1.0" encoding="utf-8"?>
<styleSheet xmlns="http://schemas.openxmlformats.org/spreadsheetml/2006/main">
  <numFmts count="17">
    <numFmt numFmtId="164" formatCode="&quot;£&quot;#,##0.00;[Red]\-&quot;£&quot;#,##0.00"/>
    <numFmt numFmtId="165" formatCode="_-* #,##0.00_-;\-* #,##0.00_-;_-* &quot;-&quot;??_-;_-@_-"/>
    <numFmt numFmtId="166" formatCode="0.0000"/>
    <numFmt numFmtId="167" formatCode="0.000"/>
    <numFmt numFmtId="168" formatCode="0.0"/>
    <numFmt numFmtId="169" formatCode="0.00000"/>
    <numFmt numFmtId="170" formatCode="0.0%"/>
    <numFmt numFmtId="171" formatCode="0.00_)"/>
    <numFmt numFmtId="172" formatCode="[$$-409]#,##0.00"/>
    <numFmt numFmtId="173" formatCode="&quot;£&quot;#,##0.00"/>
    <numFmt numFmtId="174" formatCode="0.000000000"/>
    <numFmt numFmtId="175" formatCode="#,##0.00_ ;[Red]\-#,##0.00\ "/>
    <numFmt numFmtId="176" formatCode="&quot;£&quot;#,##0"/>
    <numFmt numFmtId="177" formatCode="0.0000000000"/>
    <numFmt numFmtId="178" formatCode="#,##0.000"/>
    <numFmt numFmtId="179" formatCode="0.000000"/>
    <numFmt numFmtId="180" formatCode="&quot;$&quot;#,##0.00"/>
  </numFmts>
  <fonts count="11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sz val="10"/>
      <name val="Symbol"/>
      <family val="1"/>
      <charset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i/>
      <sz val="10"/>
      <name val="Courier"/>
      <family val="3"/>
    </font>
    <font>
      <sz val="10"/>
      <color indexed="56"/>
      <name val="Arial"/>
      <family val="2"/>
    </font>
    <font>
      <b/>
      <sz val="10"/>
      <color indexed="12"/>
      <name val="Arial"/>
      <family val="2"/>
    </font>
    <font>
      <sz val="7"/>
      <name val="Arial"/>
      <family val="2"/>
    </font>
    <font>
      <sz val="11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b/>
      <i/>
      <sz val="14"/>
      <color indexed="10"/>
      <name val="Arial"/>
      <family val="2"/>
    </font>
    <font>
      <sz val="10"/>
      <color indexed="12"/>
      <name val="Courier"/>
      <family val="3"/>
    </font>
    <font>
      <b/>
      <sz val="11"/>
      <name val="Arial"/>
      <family val="2"/>
    </font>
    <font>
      <sz val="9"/>
      <name val="Arial"/>
      <family val="2"/>
    </font>
    <font>
      <b/>
      <sz val="11"/>
      <color indexed="10"/>
      <name val="Arial"/>
      <family val="2"/>
    </font>
    <font>
      <b/>
      <sz val="10"/>
      <color indexed="18"/>
      <name val="Arial"/>
      <family val="2"/>
    </font>
    <font>
      <b/>
      <sz val="10"/>
      <color indexed="18"/>
      <name val="Courier"/>
      <family val="3"/>
    </font>
    <font>
      <b/>
      <sz val="14"/>
      <name val="Arial"/>
      <family val="2"/>
    </font>
    <font>
      <b/>
      <sz val="10"/>
      <color indexed="12"/>
      <name val="Courier"/>
      <family val="3"/>
    </font>
    <font>
      <b/>
      <sz val="10"/>
      <color indexed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5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vertAlign val="subscript"/>
      <sz val="10"/>
      <name val="Symbol"/>
      <family val="1"/>
      <charset val="2"/>
    </font>
    <font>
      <sz val="6"/>
      <name val="Arial"/>
      <family val="2"/>
    </font>
    <font>
      <b/>
      <sz val="10"/>
      <color indexed="10"/>
      <name val="Symbol"/>
      <family val="1"/>
      <charset val="2"/>
    </font>
    <font>
      <vertAlign val="subscript"/>
      <sz val="10"/>
      <name val="Tahoma"/>
      <family val="2"/>
    </font>
    <font>
      <sz val="8"/>
      <name val="Tahoma"/>
      <family val="2"/>
    </font>
    <font>
      <b/>
      <sz val="16"/>
      <name val="Arial"/>
      <family val="2"/>
    </font>
    <font>
      <b/>
      <sz val="10"/>
      <color indexed="18"/>
      <name val="Arial"/>
      <family val="2"/>
    </font>
    <font>
      <sz val="8"/>
      <color indexed="18"/>
      <name val="Arial"/>
      <family val="2"/>
    </font>
    <font>
      <b/>
      <sz val="10"/>
      <color indexed="56"/>
      <name val="Arial"/>
      <family val="2"/>
    </font>
    <font>
      <sz val="10"/>
      <name val="Sans Serif 10cpi"/>
      <family val="3"/>
    </font>
    <font>
      <b/>
      <sz val="11"/>
      <name val="Garamond"/>
      <family val="1"/>
    </font>
    <font>
      <b/>
      <i/>
      <sz val="14"/>
      <name val="Arial"/>
      <family val="2"/>
    </font>
    <font>
      <sz val="10"/>
      <color indexed="10"/>
      <name val="Arial"/>
      <family val="2"/>
    </font>
    <font>
      <sz val="6"/>
      <color indexed="10"/>
      <name val="Arial"/>
      <family val="2"/>
    </font>
    <font>
      <b/>
      <vertAlign val="subscript"/>
      <sz val="10"/>
      <name val="Arial"/>
      <family val="2"/>
    </font>
    <font>
      <b/>
      <vertAlign val="subscript"/>
      <sz val="10"/>
      <name val="Symbol"/>
      <family val="1"/>
      <charset val="2"/>
    </font>
    <font>
      <vertAlign val="superscript"/>
      <sz val="10"/>
      <name val="Symbol"/>
      <family val="1"/>
      <charset val="2"/>
    </font>
    <font>
      <vertAlign val="superscript"/>
      <sz val="10"/>
      <name val="Arial"/>
      <family val="2"/>
    </font>
    <font>
      <b/>
      <sz val="10"/>
      <color indexed="56"/>
      <name val="Arial"/>
      <family val="2"/>
    </font>
    <font>
      <sz val="10"/>
      <name val="Times New Roman"/>
      <family val="1"/>
    </font>
    <font>
      <b/>
      <vertAlign val="subscript"/>
      <sz val="10"/>
      <color indexed="18"/>
      <name val="Arial"/>
      <family val="2"/>
    </font>
    <font>
      <b/>
      <sz val="11"/>
      <color indexed="12"/>
      <name val="Arial"/>
      <family val="2"/>
    </font>
    <font>
      <b/>
      <sz val="7"/>
      <color indexed="18"/>
      <name val="Courier"/>
      <family val="3"/>
    </font>
    <font>
      <b/>
      <sz val="5"/>
      <name val="Arial"/>
      <family val="2"/>
    </font>
    <font>
      <b/>
      <sz val="10"/>
      <color indexed="8"/>
      <name val="Arial"/>
      <family val="2"/>
    </font>
    <font>
      <sz val="10"/>
      <name val="Rockwell"/>
      <family val="1"/>
    </font>
    <font>
      <b/>
      <sz val="10"/>
      <color rgb="FFFF000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sz val="8"/>
      <name val="Times New Roman"/>
      <family val="1"/>
    </font>
    <font>
      <vertAlign val="subscript"/>
      <sz val="10"/>
      <name val="Times New Roman"/>
      <family val="1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i/>
      <sz val="10"/>
      <name val="Times New Roman"/>
      <family val="1"/>
    </font>
    <font>
      <b/>
      <sz val="10"/>
      <color rgb="FFFF0000"/>
      <name val="Times New Roman"/>
      <family val="1"/>
    </font>
    <font>
      <b/>
      <vertAlign val="subscript"/>
      <sz val="10"/>
      <color indexed="10"/>
      <name val="Times New Roman"/>
      <family val="1"/>
    </font>
    <font>
      <sz val="9"/>
      <name val="Times New Roman"/>
      <family val="1"/>
    </font>
    <font>
      <sz val="7"/>
      <name val="Times New Roman"/>
      <family val="1"/>
    </font>
    <font>
      <b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vertAlign val="subscript"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theme="1"/>
      <name val="Symbol"/>
      <family val="1"/>
      <charset val="2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Symbol"/>
      <family val="1"/>
      <charset val="2"/>
    </font>
    <font>
      <b/>
      <vertAlign val="superscript"/>
      <sz val="8"/>
      <name val="Symbol"/>
      <family val="1"/>
      <charset val="2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name val="Tahoma"/>
      <family val="2"/>
    </font>
    <font>
      <sz val="11"/>
      <name val="Symbol"/>
      <family val="1"/>
      <charset val="2"/>
    </font>
    <font>
      <sz val="10"/>
      <color rgb="FFFF0000"/>
      <name val="Arial"/>
      <family val="2"/>
    </font>
    <font>
      <vertAlign val="subscript"/>
      <sz val="11"/>
      <name val="Arial"/>
      <family val="2"/>
    </font>
    <font>
      <b/>
      <sz val="10"/>
      <name val="Tahoma"/>
      <family val="2"/>
    </font>
    <font>
      <b/>
      <sz val="11"/>
      <color indexed="8"/>
      <name val="Symbol"/>
      <family val="1"/>
      <charset val="2"/>
    </font>
    <font>
      <b/>
      <sz val="11"/>
      <color indexed="8"/>
      <name val="Calibri"/>
      <family val="2"/>
    </font>
    <font>
      <b/>
      <vertAlign val="subscript"/>
      <sz val="11"/>
      <color indexed="8"/>
      <name val="Calibri"/>
      <family val="2"/>
    </font>
    <font>
      <sz val="11"/>
      <color indexed="8"/>
      <name val="Symbol"/>
      <family val="1"/>
      <charset val="2"/>
    </font>
    <font>
      <sz val="11"/>
      <color indexed="8"/>
      <name val="Tahoma"/>
      <family val="2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name val="Symbol"/>
      <family val="1"/>
      <charset val="2"/>
    </font>
    <font>
      <sz val="12"/>
      <name val="Tahoma"/>
      <family val="2"/>
    </font>
    <font>
      <b/>
      <vertAlign val="subscript"/>
      <sz val="11"/>
      <color indexed="8"/>
      <name val="Symbol"/>
      <family val="1"/>
      <charset val="2"/>
    </font>
    <font>
      <sz val="12"/>
      <name val="Rockwell"/>
      <family val="1"/>
    </font>
    <font>
      <sz val="12"/>
      <name val="Calibri"/>
      <family val="2"/>
      <scheme val="minor"/>
    </font>
    <font>
      <sz val="12"/>
      <name val="Arial"/>
      <family val="2"/>
    </font>
    <font>
      <sz val="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426">
    <xf numFmtId="0" fontId="0" fillId="0" borderId="0" xfId="0"/>
    <xf numFmtId="166" fontId="0" fillId="0" borderId="0" xfId="0" applyNumberFormat="1"/>
    <xf numFmtId="0" fontId="6" fillId="0" borderId="0" xfId="0" applyFont="1"/>
    <xf numFmtId="167" fontId="0" fillId="0" borderId="0" xfId="0" applyNumberFormat="1"/>
    <xf numFmtId="2" fontId="0" fillId="0" borderId="0" xfId="0" applyNumberFormat="1"/>
    <xf numFmtId="166" fontId="0" fillId="0" borderId="0" xfId="0" applyNumberFormat="1" applyBorder="1"/>
    <xf numFmtId="0" fontId="3" fillId="0" borderId="0" xfId="0" applyFont="1" applyBorder="1"/>
    <xf numFmtId="1" fontId="0" fillId="0" borderId="0" xfId="0" applyNumberFormat="1"/>
    <xf numFmtId="168" fontId="0" fillId="0" borderId="0" xfId="0" applyNumberFormat="1"/>
    <xf numFmtId="0" fontId="8" fillId="0" borderId="0" xfId="0" applyFont="1"/>
    <xf numFmtId="167" fontId="8" fillId="0" borderId="0" xfId="0" applyNumberFormat="1" applyFont="1"/>
    <xf numFmtId="2" fontId="9" fillId="0" borderId="0" xfId="0" applyNumberFormat="1" applyFont="1"/>
    <xf numFmtId="10" fontId="0" fillId="0" borderId="0" xfId="0" applyNumberFormat="1"/>
    <xf numFmtId="0" fontId="0" fillId="0" borderId="0" xfId="0" applyAlignment="1" applyProtection="1">
      <alignment horizontal="left"/>
    </xf>
    <xf numFmtId="2" fontId="0" fillId="0" borderId="0" xfId="0" applyNumberFormat="1" applyBorder="1"/>
    <xf numFmtId="2" fontId="8" fillId="0" borderId="0" xfId="0" applyNumberFormat="1" applyFont="1" applyBorder="1"/>
    <xf numFmtId="0" fontId="6" fillId="0" borderId="0" xfId="0" applyFont="1" applyBorder="1"/>
    <xf numFmtId="0" fontId="0" fillId="0" borderId="0" xfId="0" applyBorder="1"/>
    <xf numFmtId="0" fontId="3" fillId="0" borderId="0" xfId="0" applyFont="1"/>
    <xf numFmtId="1" fontId="11" fillId="0" borderId="0" xfId="0" applyNumberFormat="1" applyFont="1"/>
    <xf numFmtId="0" fontId="3" fillId="0" borderId="0" xfId="0" applyFont="1" applyAlignment="1" applyProtection="1">
      <alignment horizontal="left"/>
    </xf>
    <xf numFmtId="1" fontId="0" fillId="0" borderId="0" xfId="0" applyNumberFormat="1" applyProtection="1"/>
    <xf numFmtId="0" fontId="9" fillId="0" borderId="0" xfId="0" applyFont="1"/>
    <xf numFmtId="2" fontId="0" fillId="0" borderId="0" xfId="0" applyNumberFormat="1" applyProtection="1"/>
    <xf numFmtId="2" fontId="9" fillId="0" borderId="0" xfId="0" applyNumberFormat="1" applyFont="1" applyBorder="1"/>
    <xf numFmtId="0" fontId="12" fillId="0" borderId="0" xfId="0" applyFont="1" applyAlignment="1" applyProtection="1">
      <alignment horizontal="left"/>
    </xf>
    <xf numFmtId="1" fontId="13" fillId="0" borderId="0" xfId="0" applyNumberFormat="1" applyFont="1" applyProtection="1"/>
    <xf numFmtId="2" fontId="13" fillId="0" borderId="0" xfId="0" applyNumberFormat="1" applyFont="1" applyProtection="1"/>
    <xf numFmtId="2" fontId="13" fillId="0" borderId="0" xfId="0" applyNumberFormat="1" applyFont="1"/>
    <xf numFmtId="167" fontId="13" fillId="0" borderId="0" xfId="0" applyNumberFormat="1" applyFont="1" applyProtection="1"/>
    <xf numFmtId="2" fontId="11" fillId="0" borderId="0" xfId="0" applyNumberFormat="1" applyFont="1"/>
    <xf numFmtId="2" fontId="8" fillId="0" borderId="0" xfId="0" applyNumberFormat="1" applyFont="1" applyProtection="1"/>
    <xf numFmtId="2" fontId="8" fillId="0" borderId="0" xfId="0" applyNumberFormat="1" applyFont="1"/>
    <xf numFmtId="0" fontId="18" fillId="0" borderId="0" xfId="0" applyFont="1" applyAlignment="1">
      <alignment horizontal="centerContinuous"/>
    </xf>
    <xf numFmtId="0" fontId="4" fillId="0" borderId="0" xfId="0" applyFont="1"/>
    <xf numFmtId="0" fontId="2" fillId="0" borderId="0" xfId="0" applyFont="1"/>
    <xf numFmtId="0" fontId="19" fillId="0" borderId="0" xfId="0" applyFont="1" applyAlignment="1">
      <alignment horizontal="centerContinuous"/>
    </xf>
    <xf numFmtId="0" fontId="11" fillId="0" borderId="0" xfId="0" applyFont="1"/>
    <xf numFmtId="0" fontId="20" fillId="0" borderId="0" xfId="0" applyFont="1" applyProtection="1">
      <protection locked="0"/>
    </xf>
    <xf numFmtId="171" fontId="0" fillId="0" borderId="0" xfId="0" applyNumberFormat="1" applyProtection="1"/>
    <xf numFmtId="0" fontId="21" fillId="0" borderId="0" xfId="0" applyFont="1" applyAlignment="1">
      <alignment horizontal="centerContinuous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3" xfId="0" applyBorder="1"/>
    <xf numFmtId="167" fontId="0" fillId="0" borderId="0" xfId="0" applyNumberFormat="1" applyBorder="1"/>
    <xf numFmtId="167" fontId="21" fillId="0" borderId="0" xfId="0" applyNumberFormat="1" applyFont="1" applyBorder="1" applyAlignment="1">
      <alignment horizontal="centerContinuous"/>
    </xf>
    <xf numFmtId="0" fontId="0" fillId="0" borderId="4" xfId="0" applyBorder="1"/>
    <xf numFmtId="167" fontId="0" fillId="0" borderId="4" xfId="0" applyNumberFormat="1" applyBorder="1"/>
    <xf numFmtId="0" fontId="0" fillId="0" borderId="8" xfId="0" applyBorder="1"/>
    <xf numFmtId="0" fontId="4" fillId="0" borderId="0" xfId="0" applyFont="1" applyAlignment="1">
      <alignment horizontal="centerContinuous"/>
    </xf>
    <xf numFmtId="167" fontId="22" fillId="0" borderId="0" xfId="0" applyNumberFormat="1" applyFont="1" applyBorder="1" applyAlignment="1">
      <alignment horizontal="centerContinuous"/>
    </xf>
    <xf numFmtId="0" fontId="22" fillId="0" borderId="0" xfId="0" applyFont="1"/>
    <xf numFmtId="0" fontId="2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Continuous"/>
    </xf>
    <xf numFmtId="176" fontId="24" fillId="0" borderId="0" xfId="0" applyNumberFormat="1" applyFont="1" applyAlignment="1" applyProtection="1">
      <alignment horizontal="right"/>
    </xf>
    <xf numFmtId="164" fontId="25" fillId="0" borderId="0" xfId="0" applyNumberFormat="1" applyFont="1" applyProtection="1">
      <protection locked="0"/>
    </xf>
    <xf numFmtId="176" fontId="25" fillId="0" borderId="0" xfId="0" applyNumberFormat="1" applyFont="1" applyProtection="1">
      <protection locked="0"/>
    </xf>
    <xf numFmtId="0" fontId="25" fillId="0" borderId="0" xfId="0" applyFont="1" applyProtection="1">
      <protection locked="0"/>
    </xf>
    <xf numFmtId="173" fontId="26" fillId="0" borderId="0" xfId="0" quotePrefix="1" applyNumberFormat="1" applyFont="1" applyProtection="1"/>
    <xf numFmtId="164" fontId="0" fillId="0" borderId="0" xfId="0" applyNumberFormat="1"/>
    <xf numFmtId="171" fontId="26" fillId="0" borderId="0" xfId="0" applyNumberFormat="1" applyFont="1" applyProtection="1"/>
    <xf numFmtId="167" fontId="0" fillId="0" borderId="0" xfId="0" applyNumberFormat="1" applyProtection="1"/>
    <xf numFmtId="0" fontId="26" fillId="0" borderId="0" xfId="0" applyFont="1" applyAlignment="1" applyProtection="1">
      <alignment horizontal="centerContinuous"/>
    </xf>
    <xf numFmtId="0" fontId="26" fillId="0" borderId="0" xfId="0" applyFont="1" applyAlignment="1">
      <alignment horizontal="centerContinuous"/>
    </xf>
    <xf numFmtId="0" fontId="0" fillId="0" borderId="0" xfId="0" applyAlignment="1" applyProtection="1">
      <alignment horizontal="center"/>
    </xf>
    <xf numFmtId="176" fontId="20" fillId="0" borderId="0" xfId="0" applyNumberFormat="1" applyFont="1" applyProtection="1">
      <protection locked="0"/>
    </xf>
    <xf numFmtId="175" fontId="20" fillId="0" borderId="0" xfId="0" applyNumberFormat="1" applyFont="1" applyProtection="1">
      <protection locked="0"/>
    </xf>
    <xf numFmtId="2" fontId="20" fillId="0" borderId="0" xfId="0" applyNumberFormat="1" applyFont="1" applyProtection="1">
      <protection locked="0"/>
    </xf>
    <xf numFmtId="173" fontId="21" fillId="0" borderId="0" xfId="0" applyNumberFormat="1" applyFont="1"/>
    <xf numFmtId="173" fontId="21" fillId="0" borderId="0" xfId="0" quotePrefix="1" applyNumberFormat="1" applyFont="1"/>
    <xf numFmtId="0" fontId="18" fillId="0" borderId="1" xfId="0" applyFont="1" applyBorder="1" applyAlignment="1">
      <alignment horizontal="centerContinuous"/>
    </xf>
    <xf numFmtId="0" fontId="18" fillId="0" borderId="3" xfId="0" applyFont="1" applyBorder="1" applyAlignment="1">
      <alignment horizontal="centerContinuous"/>
    </xf>
    <xf numFmtId="0" fontId="0" fillId="0" borderId="6" xfId="0" applyBorder="1" applyAlignment="1" applyProtection="1">
      <alignment horizontal="left"/>
    </xf>
    <xf numFmtId="4" fontId="0" fillId="0" borderId="0" xfId="0" applyNumberFormat="1" applyBorder="1"/>
    <xf numFmtId="2" fontId="20" fillId="0" borderId="0" xfId="0" applyNumberFormat="1" applyFont="1" applyBorder="1" applyProtection="1">
      <protection locked="0"/>
    </xf>
    <xf numFmtId="2" fontId="27" fillId="0" borderId="0" xfId="0" applyNumberFormat="1" applyFont="1" applyBorder="1" applyProtection="1">
      <protection locked="0"/>
    </xf>
    <xf numFmtId="0" fontId="29" fillId="0" borderId="0" xfId="0" applyFont="1" applyAlignment="1">
      <alignment horizontal="centerContinuous" vertical="justify" wrapText="1"/>
    </xf>
    <xf numFmtId="0" fontId="0" fillId="0" borderId="0" xfId="0" applyAlignment="1">
      <alignment horizontal="centerContinuous" vertical="justify" wrapText="1"/>
    </xf>
    <xf numFmtId="0" fontId="29" fillId="0" borderId="0" xfId="0" applyFont="1"/>
    <xf numFmtId="0" fontId="0" fillId="0" borderId="0" xfId="0" quotePrefix="1"/>
    <xf numFmtId="3" fontId="0" fillId="0" borderId="0" xfId="0" applyNumberFormat="1"/>
    <xf numFmtId="0" fontId="10" fillId="0" borderId="0" xfId="0" applyFont="1" applyAlignment="1">
      <alignment horizontal="centerContinuous" vertical="justify" wrapText="1"/>
    </xf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horizontal="centerContinuous"/>
    </xf>
    <xf numFmtId="0" fontId="33" fillId="0" borderId="0" xfId="0" applyFont="1" applyAlignment="1">
      <alignment horizontal="centerContinuous"/>
    </xf>
    <xf numFmtId="172" fontId="0" fillId="0" borderId="0" xfId="0" applyNumberFormat="1" applyBorder="1"/>
    <xf numFmtId="4" fontId="8" fillId="0" borderId="0" xfId="0" applyNumberFormat="1" applyFont="1" applyBorder="1"/>
    <xf numFmtId="172" fontId="8" fillId="0" borderId="0" xfId="0" applyNumberFormat="1" applyFont="1" applyBorder="1"/>
    <xf numFmtId="2" fontId="35" fillId="0" borderId="0" xfId="0" applyNumberFormat="1" applyFont="1" applyBorder="1"/>
    <xf numFmtId="173" fontId="0" fillId="0" borderId="0" xfId="0" applyNumberFormat="1" applyBorder="1"/>
    <xf numFmtId="2" fontId="35" fillId="0" borderId="4" xfId="0" applyNumberFormat="1" applyFont="1" applyBorder="1"/>
    <xf numFmtId="170" fontId="0" fillId="0" borderId="0" xfId="0" applyNumberFormat="1" applyBorder="1"/>
    <xf numFmtId="0" fontId="17" fillId="0" borderId="0" xfId="0" applyFont="1"/>
    <xf numFmtId="0" fontId="17" fillId="0" borderId="0" xfId="0" applyFont="1" applyBorder="1"/>
    <xf numFmtId="0" fontId="14" fillId="0" borderId="0" xfId="0" applyFont="1" applyBorder="1"/>
    <xf numFmtId="2" fontId="14" fillId="0" borderId="0" xfId="0" applyNumberFormat="1" applyFont="1" applyBorder="1"/>
    <xf numFmtId="0" fontId="0" fillId="0" borderId="0" xfId="0" applyFill="1" applyBorder="1"/>
    <xf numFmtId="2" fontId="37" fillId="0" borderId="0" xfId="0" applyNumberFormat="1" applyFont="1" applyAlignment="1">
      <alignment horizontal="centerContinuous" wrapText="1"/>
    </xf>
    <xf numFmtId="0" fontId="37" fillId="0" borderId="0" xfId="0" applyFont="1" applyAlignment="1">
      <alignment horizontal="centerContinuous" wrapText="1"/>
    </xf>
    <xf numFmtId="0" fontId="0" fillId="0" borderId="0" xfId="0" applyAlignment="1">
      <alignment horizontal="centerContinuous"/>
    </xf>
    <xf numFmtId="0" fontId="38" fillId="0" borderId="0" xfId="0" applyFont="1"/>
    <xf numFmtId="2" fontId="28" fillId="0" borderId="0" xfId="0" applyNumberFormat="1" applyFont="1"/>
    <xf numFmtId="2" fontId="37" fillId="0" borderId="0" xfId="0" applyNumberFormat="1" applyFont="1"/>
    <xf numFmtId="167" fontId="17" fillId="0" borderId="0" xfId="0" applyNumberFormat="1" applyFont="1"/>
    <xf numFmtId="167" fontId="40" fillId="0" borderId="0" xfId="0" applyNumberFormat="1" applyFont="1"/>
    <xf numFmtId="2" fontId="17" fillId="0" borderId="0" xfId="0" applyNumberFormat="1" applyFont="1"/>
    <xf numFmtId="0" fontId="41" fillId="0" borderId="0" xfId="0" applyFont="1" applyAlignment="1">
      <alignment horizontal="centerContinuous"/>
    </xf>
    <xf numFmtId="1" fontId="3" fillId="0" borderId="0" xfId="0" applyNumberFormat="1" applyFont="1"/>
    <xf numFmtId="2" fontId="3" fillId="0" borderId="0" xfId="0" applyNumberFormat="1" applyFont="1"/>
    <xf numFmtId="166" fontId="3" fillId="0" borderId="0" xfId="0" applyNumberFormat="1" applyFont="1"/>
    <xf numFmtId="167" fontId="3" fillId="0" borderId="0" xfId="0" applyNumberFormat="1" applyFont="1"/>
    <xf numFmtId="167" fontId="4" fillId="0" borderId="0" xfId="0" applyNumberFormat="1" applyFont="1"/>
    <xf numFmtId="166" fontId="42" fillId="0" borderId="0" xfId="0" applyNumberFormat="1" applyFont="1" applyFill="1" applyBorder="1"/>
    <xf numFmtId="167" fontId="42" fillId="0" borderId="0" xfId="0" applyNumberFormat="1" applyFont="1"/>
    <xf numFmtId="167" fontId="43" fillId="0" borderId="0" xfId="0" applyNumberFormat="1" applyFont="1"/>
    <xf numFmtId="166" fontId="42" fillId="0" borderId="0" xfId="0" applyNumberFormat="1" applyFont="1"/>
    <xf numFmtId="0" fontId="28" fillId="0" borderId="0" xfId="0" applyFont="1"/>
    <xf numFmtId="167" fontId="24" fillId="0" borderId="0" xfId="0" applyNumberFormat="1" applyFont="1"/>
    <xf numFmtId="166" fontId="44" fillId="0" borderId="0" xfId="0" applyNumberFormat="1" applyFont="1"/>
    <xf numFmtId="2" fontId="4" fillId="0" borderId="0" xfId="0" applyNumberFormat="1" applyFont="1" applyBorder="1"/>
    <xf numFmtId="2" fontId="4" fillId="0" borderId="9" xfId="0" applyNumberFormat="1" applyFont="1" applyBorder="1"/>
    <xf numFmtId="0" fontId="5" fillId="0" borderId="0" xfId="0" applyFont="1"/>
    <xf numFmtId="0" fontId="45" fillId="0" borderId="0" xfId="0" applyFont="1"/>
    <xf numFmtId="166" fontId="2" fillId="0" borderId="0" xfId="0" applyNumberFormat="1" applyFont="1"/>
    <xf numFmtId="0" fontId="2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4" fillId="0" borderId="0" xfId="0" applyFont="1" applyBorder="1"/>
    <xf numFmtId="2" fontId="0" fillId="0" borderId="9" xfId="0" applyNumberFormat="1" applyBorder="1"/>
    <xf numFmtId="2" fontId="0" fillId="0" borderId="0" xfId="0" applyNumberFormat="1" applyFill="1" applyBorder="1"/>
    <xf numFmtId="167" fontId="0" fillId="0" borderId="9" xfId="0" applyNumberFormat="1" applyBorder="1"/>
    <xf numFmtId="167" fontId="0" fillId="0" borderId="10" xfId="0" applyNumberFormat="1" applyBorder="1"/>
    <xf numFmtId="167" fontId="0" fillId="0" borderId="11" xfId="0" applyNumberFormat="1" applyBorder="1"/>
    <xf numFmtId="167" fontId="0" fillId="0" borderId="12" xfId="0" applyNumberFormat="1" applyBorder="1"/>
    <xf numFmtId="167" fontId="0" fillId="0" borderId="13" xfId="0" applyNumberFormat="1" applyBorder="1"/>
    <xf numFmtId="0" fontId="0" fillId="0" borderId="9" xfId="0" applyBorder="1"/>
    <xf numFmtId="0" fontId="0" fillId="0" borderId="14" xfId="0" applyBorder="1"/>
    <xf numFmtId="0" fontId="0" fillId="0" borderId="15" xfId="0" applyBorder="1"/>
    <xf numFmtId="167" fontId="0" fillId="0" borderId="14" xfId="0" applyNumberFormat="1" applyBorder="1"/>
    <xf numFmtId="167" fontId="0" fillId="0" borderId="15" xfId="0" applyNumberFormat="1" applyBorder="1"/>
    <xf numFmtId="167" fontId="0" fillId="0" borderId="16" xfId="0" applyNumberFormat="1" applyBorder="1"/>
    <xf numFmtId="0" fontId="46" fillId="0" borderId="0" xfId="0" applyFont="1" applyFill="1" applyBorder="1"/>
    <xf numFmtId="0" fontId="18" fillId="0" borderId="10" xfId="0" applyFont="1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21" fillId="0" borderId="0" xfId="0" applyFont="1" applyBorder="1" applyAlignment="1">
      <alignment horizontal="centerContinuous"/>
    </xf>
    <xf numFmtId="2" fontId="4" fillId="0" borderId="0" xfId="0" applyNumberFormat="1" applyFont="1" applyFill="1" applyBorder="1"/>
    <xf numFmtId="0" fontId="46" fillId="0" borderId="13" xfId="0" applyFont="1" applyFill="1" applyBorder="1"/>
    <xf numFmtId="169" fontId="0" fillId="0" borderId="0" xfId="0" applyNumberFormat="1" applyBorder="1"/>
    <xf numFmtId="0" fontId="3" fillId="0" borderId="0" xfId="0" applyFont="1" applyBorder="1" applyAlignment="1">
      <alignment horizontal="center"/>
    </xf>
    <xf numFmtId="2" fontId="35" fillId="0" borderId="0" xfId="0" applyNumberFormat="1" applyFont="1" applyFill="1" applyBorder="1"/>
    <xf numFmtId="167" fontId="35" fillId="0" borderId="0" xfId="0" applyNumberFormat="1" applyFont="1" applyBorder="1"/>
    <xf numFmtId="0" fontId="35" fillId="0" borderId="0" xfId="0" applyFont="1" applyBorder="1"/>
    <xf numFmtId="168" fontId="35" fillId="0" borderId="0" xfId="0" applyNumberFormat="1" applyFont="1" applyBorder="1"/>
    <xf numFmtId="0" fontId="6" fillId="0" borderId="6" xfId="0" applyFont="1" applyBorder="1"/>
    <xf numFmtId="0" fontId="0" fillId="0" borderId="0" xfId="0" applyAlignment="1">
      <alignment horizontal="center"/>
    </xf>
    <xf numFmtId="167" fontId="14" fillId="0" borderId="0" xfId="0" applyNumberFormat="1" applyFont="1"/>
    <xf numFmtId="167" fontId="24" fillId="0" borderId="0" xfId="0" applyNumberFormat="1" applyFont="1" applyBorder="1"/>
    <xf numFmtId="0" fontId="16" fillId="0" borderId="0" xfId="0" applyFont="1"/>
    <xf numFmtId="0" fontId="37" fillId="0" borderId="0" xfId="0" applyFont="1"/>
    <xf numFmtId="0" fontId="48" fillId="0" borderId="0" xfId="0" applyFont="1"/>
    <xf numFmtId="167" fontId="48" fillId="0" borderId="0" xfId="0" applyNumberFormat="1" applyFont="1"/>
    <xf numFmtId="0" fontId="49" fillId="0" borderId="0" xfId="0" applyFont="1"/>
    <xf numFmtId="0" fontId="35" fillId="0" borderId="0" xfId="0" applyFont="1"/>
    <xf numFmtId="167" fontId="35" fillId="0" borderId="0" xfId="0" applyNumberFormat="1" applyFont="1"/>
    <xf numFmtId="2" fontId="35" fillId="0" borderId="0" xfId="0" applyNumberFormat="1" applyFont="1"/>
    <xf numFmtId="14" fontId="0" fillId="0" borderId="0" xfId="0" applyNumberFormat="1"/>
    <xf numFmtId="0" fontId="47" fillId="0" borderId="0" xfId="0" applyFont="1" applyAlignment="1">
      <alignment horizontal="centerContinuous"/>
    </xf>
    <xf numFmtId="0" fontId="21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"/>
    </xf>
    <xf numFmtId="10" fontId="2" fillId="0" borderId="11" xfId="2" applyNumberFormat="1" applyBorder="1"/>
    <xf numFmtId="10" fontId="2" fillId="0" borderId="0" xfId="2" applyNumberFormat="1" applyBorder="1"/>
    <xf numFmtId="170" fontId="2" fillId="0" borderId="0" xfId="2" applyNumberFormat="1" applyBorder="1"/>
    <xf numFmtId="3" fontId="2" fillId="0" borderId="0" xfId="1" applyNumberFormat="1" applyBorder="1"/>
    <xf numFmtId="0" fontId="3" fillId="2" borderId="13" xfId="0" applyFont="1" applyFill="1" applyBorder="1"/>
    <xf numFmtId="3" fontId="3" fillId="2" borderId="0" xfId="1" applyNumberFormat="1" applyFont="1" applyFill="1" applyBorder="1"/>
    <xf numFmtId="3" fontId="0" fillId="0" borderId="0" xfId="0" applyNumberFormat="1" applyBorder="1"/>
    <xf numFmtId="3" fontId="2" fillId="0" borderId="0" xfId="0" applyNumberFormat="1" applyFont="1" applyBorder="1"/>
    <xf numFmtId="0" fontId="30" fillId="0" borderId="9" xfId="0" applyFont="1" applyBorder="1"/>
    <xf numFmtId="0" fontId="5" fillId="0" borderId="13" xfId="0" quotePrefix="1" applyFont="1" applyBorder="1"/>
    <xf numFmtId="174" fontId="30" fillId="0" borderId="0" xfId="0" applyNumberFormat="1" applyFont="1" applyBorder="1"/>
    <xf numFmtId="174" fontId="30" fillId="0" borderId="9" xfId="0" applyNumberFormat="1" applyFont="1" applyBorder="1"/>
    <xf numFmtId="169" fontId="8" fillId="0" borderId="14" xfId="0" applyNumberFormat="1" applyFont="1" applyBorder="1"/>
    <xf numFmtId="3" fontId="2" fillId="0" borderId="15" xfId="0" applyNumberFormat="1" applyFont="1" applyBorder="1"/>
    <xf numFmtId="3" fontId="30" fillId="0" borderId="16" xfId="0" applyNumberFormat="1" applyFont="1" applyBorder="1"/>
    <xf numFmtId="2" fontId="2" fillId="0" borderId="0" xfId="0" applyNumberFormat="1" applyFont="1"/>
    <xf numFmtId="2" fontId="2" fillId="0" borderId="0" xfId="0" applyNumberFormat="1" applyFont="1" applyBorder="1"/>
    <xf numFmtId="167" fontId="30" fillId="0" borderId="0" xfId="0" applyNumberFormat="1" applyFont="1"/>
    <xf numFmtId="166" fontId="35" fillId="0" borderId="0" xfId="0" applyNumberFormat="1" applyFont="1"/>
    <xf numFmtId="0" fontId="54" fillId="0" borderId="3" xfId="0" applyFont="1" applyBorder="1"/>
    <xf numFmtId="0" fontId="54" fillId="0" borderId="0" xfId="0" applyFont="1" applyBorder="1"/>
    <xf numFmtId="167" fontId="54" fillId="0" borderId="0" xfId="0" applyNumberFormat="1" applyFont="1" applyBorder="1"/>
    <xf numFmtId="167" fontId="8" fillId="0" borderId="7" xfId="0" applyNumberFormat="1" applyFont="1" applyBorder="1"/>
    <xf numFmtId="0" fontId="8" fillId="0" borderId="7" xfId="0" applyFont="1" applyBorder="1"/>
    <xf numFmtId="3" fontId="8" fillId="0" borderId="7" xfId="0" applyNumberFormat="1" applyFont="1" applyBorder="1"/>
    <xf numFmtId="167" fontId="9" fillId="0" borderId="0" xfId="0" applyNumberFormat="1" applyFont="1" applyBorder="1"/>
    <xf numFmtId="167" fontId="8" fillId="0" borderId="8" xfId="0" applyNumberFormat="1" applyFont="1" applyBorder="1"/>
    <xf numFmtId="0" fontId="55" fillId="0" borderId="0" xfId="0" applyFont="1"/>
    <xf numFmtId="167" fontId="0" fillId="0" borderId="7" xfId="0" applyNumberFormat="1" applyBorder="1"/>
    <xf numFmtId="167" fontId="0" fillId="0" borderId="8" xfId="0" applyNumberFormat="1" applyBorder="1"/>
    <xf numFmtId="0" fontId="0" fillId="0" borderId="0" xfId="0" applyFont="1"/>
    <xf numFmtId="167" fontId="8" fillId="0" borderId="0" xfId="0" applyNumberFormat="1" applyFont="1" applyAlignment="1">
      <alignment horizontal="centerContinuous"/>
    </xf>
    <xf numFmtId="166" fontId="30" fillId="0" borderId="0" xfId="0" applyNumberFormat="1" applyFont="1"/>
    <xf numFmtId="167" fontId="57" fillId="0" borderId="0" xfId="0" applyNumberFormat="1" applyFont="1"/>
    <xf numFmtId="2" fontId="0" fillId="0" borderId="0" xfId="0" quotePrefix="1" applyNumberFormat="1" applyBorder="1"/>
    <xf numFmtId="2" fontId="0" fillId="0" borderId="0" xfId="0" quotePrefix="1" applyNumberFormat="1"/>
    <xf numFmtId="0" fontId="9" fillId="0" borderId="0" xfId="0" applyFont="1" applyFill="1" applyBorder="1"/>
    <xf numFmtId="164" fontId="58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left"/>
    </xf>
    <xf numFmtId="173" fontId="0" fillId="0" borderId="0" xfId="0" applyNumberFormat="1" applyProtection="1"/>
    <xf numFmtId="0" fontId="59" fillId="0" borderId="0" xfId="0" applyFont="1"/>
    <xf numFmtId="167" fontId="8" fillId="0" borderId="0" xfId="0" applyNumberFormat="1" applyFont="1" applyBorder="1"/>
    <xf numFmtId="2" fontId="9" fillId="0" borderId="0" xfId="0" applyNumberFormat="1" applyFont="1" applyProtection="1"/>
    <xf numFmtId="1" fontId="8" fillId="0" borderId="0" xfId="0" applyNumberFormat="1" applyFont="1" applyProtection="1"/>
    <xf numFmtId="167" fontId="8" fillId="0" borderId="0" xfId="0" applyNumberFormat="1" applyFont="1" applyProtection="1"/>
    <xf numFmtId="2" fontId="37" fillId="0" borderId="0" xfId="0" applyNumberFormat="1" applyFont="1" applyBorder="1"/>
    <xf numFmtId="1" fontId="60" fillId="0" borderId="0" xfId="0" applyNumberFormat="1" applyFont="1" applyProtection="1"/>
    <xf numFmtId="1" fontId="60" fillId="0" borderId="0" xfId="0" applyNumberFormat="1" applyFont="1"/>
    <xf numFmtId="3" fontId="0" fillId="2" borderId="0" xfId="1" applyNumberFormat="1" applyFont="1" applyFill="1" applyBorder="1"/>
    <xf numFmtId="3" fontId="30" fillId="2" borderId="9" xfId="1" applyNumberFormat="1" applyFont="1" applyFill="1" applyBorder="1"/>
    <xf numFmtId="3" fontId="30" fillId="0" borderId="9" xfId="0" applyNumberFormat="1" applyFont="1" applyBorder="1"/>
    <xf numFmtId="2" fontId="37" fillId="0" borderId="9" xfId="0" applyNumberFormat="1" applyFont="1" applyBorder="1"/>
    <xf numFmtId="0" fontId="35" fillId="0" borderId="11" xfId="0" applyFont="1" applyBorder="1"/>
    <xf numFmtId="0" fontId="35" fillId="0" borderId="13" xfId="0" applyFont="1" applyBorder="1"/>
    <xf numFmtId="0" fontId="35" fillId="0" borderId="15" xfId="0" applyFont="1" applyBorder="1"/>
    <xf numFmtId="0" fontId="0" fillId="0" borderId="17" xfId="0" applyBorder="1"/>
    <xf numFmtId="0" fontId="0" fillId="0" borderId="18" xfId="0" applyBorder="1"/>
    <xf numFmtId="0" fontId="3" fillId="0" borderId="18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2" fontId="4" fillId="0" borderId="7" xfId="0" applyNumberFormat="1" applyFont="1" applyBorder="1"/>
    <xf numFmtId="0" fontId="35" fillId="0" borderId="7" xfId="0" applyFont="1" applyBorder="1"/>
    <xf numFmtId="167" fontId="35" fillId="0" borderId="7" xfId="0" applyNumberFormat="1" applyFont="1" applyBorder="1"/>
    <xf numFmtId="0" fontId="0" fillId="0" borderId="6" xfId="0" quotePrefix="1" applyBorder="1"/>
    <xf numFmtId="167" fontId="35" fillId="0" borderId="4" xfId="0" applyNumberFormat="1" applyFont="1" applyBorder="1"/>
    <xf numFmtId="0" fontId="17" fillId="0" borderId="0" xfId="0" quotePrefix="1" applyFont="1"/>
    <xf numFmtId="177" fontId="0" fillId="0" borderId="0" xfId="0" applyNumberFormat="1"/>
    <xf numFmtId="4" fontId="9" fillId="0" borderId="0" xfId="0" applyNumberFormat="1" applyFont="1" applyBorder="1" applyProtection="1"/>
    <xf numFmtId="2" fontId="2" fillId="0" borderId="0" xfId="0" applyNumberFormat="1" applyFont="1" applyBorder="1" applyProtection="1"/>
    <xf numFmtId="0" fontId="7" fillId="0" borderId="0" xfId="0" applyFont="1" applyAlignment="1">
      <alignment horizontal="centerContinuous" vertical="justify" wrapText="1"/>
    </xf>
    <xf numFmtId="0" fontId="2" fillId="0" borderId="0" xfId="0" applyFont="1" applyAlignment="1" applyProtection="1">
      <alignment horizontal="left"/>
    </xf>
    <xf numFmtId="0" fontId="3" fillId="0" borderId="0" xfId="0" applyFont="1" applyAlignment="1">
      <alignment horizontal="center"/>
    </xf>
    <xf numFmtId="0" fontId="61" fillId="0" borderId="0" xfId="0" applyFont="1"/>
    <xf numFmtId="167" fontId="2" fillId="0" borderId="0" xfId="0" applyNumberFormat="1" applyFont="1"/>
    <xf numFmtId="0" fontId="2" fillId="0" borderId="0" xfId="0" applyFont="1" applyAlignment="1">
      <alignment horizontal="centerContinuous"/>
    </xf>
    <xf numFmtId="166" fontId="8" fillId="0" borderId="0" xfId="0" applyNumberFormat="1" applyFont="1"/>
    <xf numFmtId="166" fontId="15" fillId="0" borderId="0" xfId="0" applyNumberFormat="1" applyFont="1"/>
    <xf numFmtId="2" fontId="2" fillId="0" borderId="0" xfId="0" quotePrefix="1" applyNumberFormat="1" applyFont="1"/>
    <xf numFmtId="2" fontId="62" fillId="0" borderId="0" xfId="0" applyNumberFormat="1" applyFont="1"/>
    <xf numFmtId="0" fontId="63" fillId="0" borderId="0" xfId="3" applyFont="1" applyAlignment="1">
      <alignment horizontal="left"/>
    </xf>
    <xf numFmtId="0" fontId="55" fillId="0" borderId="0" xfId="3" applyFont="1"/>
    <xf numFmtId="0" fontId="63" fillId="0" borderId="0" xfId="3" applyFont="1" applyAlignment="1">
      <alignment horizontal="centerContinuous"/>
    </xf>
    <xf numFmtId="0" fontId="64" fillId="0" borderId="0" xfId="3" applyFont="1"/>
    <xf numFmtId="0" fontId="55" fillId="3" borderId="0" xfId="3" applyFont="1" applyFill="1"/>
    <xf numFmtId="2" fontId="65" fillId="0" borderId="0" xfId="3" applyNumberFormat="1" applyFont="1"/>
    <xf numFmtId="3" fontId="55" fillId="0" borderId="0" xfId="0" applyNumberFormat="1" applyFont="1" applyAlignment="1"/>
    <xf numFmtId="2" fontId="55" fillId="0" borderId="0" xfId="0" applyNumberFormat="1" applyFont="1"/>
    <xf numFmtId="0" fontId="55" fillId="3" borderId="0" xfId="0" applyFont="1" applyFill="1"/>
    <xf numFmtId="3" fontId="55" fillId="0" borderId="0" xfId="3" applyNumberFormat="1" applyFont="1"/>
    <xf numFmtId="3" fontId="55" fillId="0" borderId="0" xfId="0" applyNumberFormat="1" applyFont="1"/>
    <xf numFmtId="0" fontId="67" fillId="0" borderId="0" xfId="3" applyFont="1" applyFill="1"/>
    <xf numFmtId="4" fontId="67" fillId="0" borderId="0" xfId="3" applyNumberFormat="1" applyFont="1"/>
    <xf numFmtId="3" fontId="67" fillId="0" borderId="0" xfId="3" applyNumberFormat="1" applyFont="1"/>
    <xf numFmtId="0" fontId="55" fillId="0" borderId="0" xfId="3" applyFont="1" applyFill="1"/>
    <xf numFmtId="2" fontId="55" fillId="0" borderId="0" xfId="3" applyNumberFormat="1" applyFont="1"/>
    <xf numFmtId="167" fontId="65" fillId="0" borderId="0" xfId="3" applyNumberFormat="1" applyFont="1"/>
    <xf numFmtId="0" fontId="55" fillId="0" borderId="0" xfId="0" applyFont="1" applyFill="1"/>
    <xf numFmtId="2" fontId="67" fillId="4" borderId="0" xfId="3" applyNumberFormat="1" applyFont="1" applyFill="1"/>
    <xf numFmtId="166" fontId="55" fillId="0" borderId="0" xfId="3" applyNumberFormat="1" applyFont="1"/>
    <xf numFmtId="2" fontId="69" fillId="0" borderId="0" xfId="3" applyNumberFormat="1" applyFont="1"/>
    <xf numFmtId="167" fontId="55" fillId="0" borderId="0" xfId="3" applyNumberFormat="1" applyFont="1"/>
    <xf numFmtId="178" fontId="55" fillId="0" borderId="0" xfId="3" applyNumberFormat="1" applyFont="1"/>
    <xf numFmtId="178" fontId="55" fillId="3" borderId="0" xfId="3" applyNumberFormat="1" applyFont="1" applyFill="1"/>
    <xf numFmtId="0" fontId="67" fillId="0" borderId="0" xfId="3" applyFont="1"/>
    <xf numFmtId="0" fontId="6" fillId="0" borderId="0" xfId="3" applyFont="1" applyFill="1"/>
    <xf numFmtId="178" fontId="65" fillId="0" borderId="0" xfId="3" applyNumberFormat="1" applyFont="1"/>
    <xf numFmtId="0" fontId="55" fillId="4" borderId="0" xfId="3" applyFont="1" applyFill="1"/>
    <xf numFmtId="0" fontId="70" fillId="0" borderId="0" xfId="3" applyFont="1"/>
    <xf numFmtId="0" fontId="70" fillId="0" borderId="0" xfId="0" applyFont="1"/>
    <xf numFmtId="2" fontId="70" fillId="0" borderId="0" xfId="0" applyNumberFormat="1" applyFont="1"/>
    <xf numFmtId="0" fontId="55" fillId="4" borderId="0" xfId="0" applyFont="1" applyFill="1"/>
    <xf numFmtId="2" fontId="55" fillId="3" borderId="0" xfId="3" applyNumberFormat="1" applyFont="1" applyFill="1"/>
    <xf numFmtId="166" fontId="67" fillId="0" borderId="0" xfId="3" applyNumberFormat="1" applyFont="1"/>
    <xf numFmtId="178" fontId="72" fillId="0" borderId="0" xfId="3" applyNumberFormat="1" applyFont="1"/>
    <xf numFmtId="178" fontId="73" fillId="0" borderId="0" xfId="3" applyNumberFormat="1" applyFont="1"/>
    <xf numFmtId="4" fontId="55" fillId="0" borderId="0" xfId="3" applyNumberFormat="1" applyFont="1"/>
    <xf numFmtId="2" fontId="67" fillId="0" borderId="0" xfId="3" applyNumberFormat="1" applyFont="1"/>
    <xf numFmtId="4" fontId="67" fillId="4" borderId="0" xfId="3" applyNumberFormat="1" applyFont="1" applyFill="1"/>
    <xf numFmtId="169" fontId="55" fillId="0" borderId="0" xfId="3" applyNumberFormat="1" applyFont="1"/>
    <xf numFmtId="0" fontId="67" fillId="0" borderId="0" xfId="0" applyFont="1"/>
    <xf numFmtId="2" fontId="67" fillId="0" borderId="0" xfId="0" applyNumberFormat="1" applyFont="1"/>
    <xf numFmtId="3" fontId="55" fillId="4" borderId="0" xfId="3" applyNumberFormat="1" applyFont="1" applyFill="1"/>
    <xf numFmtId="178" fontId="55" fillId="5" borderId="0" xfId="3" applyNumberFormat="1" applyFont="1" applyFill="1"/>
    <xf numFmtId="0" fontId="2" fillId="0" borderId="0" xfId="0" applyFont="1" applyAlignment="1">
      <alignment horizontal="center"/>
    </xf>
    <xf numFmtId="0" fontId="2" fillId="0" borderId="6" xfId="0" applyFont="1" applyBorder="1"/>
    <xf numFmtId="0" fontId="61" fillId="0" borderId="6" xfId="0" applyFont="1" applyBorder="1"/>
    <xf numFmtId="0" fontId="17" fillId="0" borderId="6" xfId="0" applyFont="1" applyBorder="1"/>
    <xf numFmtId="0" fontId="36" fillId="0" borderId="6" xfId="0" applyFont="1" applyBorder="1"/>
    <xf numFmtId="169" fontId="62" fillId="0" borderId="0" xfId="0" applyNumberFormat="1" applyFont="1" applyBorder="1"/>
    <xf numFmtId="2" fontId="62" fillId="0" borderId="0" xfId="0" applyNumberFormat="1" applyFont="1" applyBorder="1"/>
    <xf numFmtId="166" fontId="2" fillId="0" borderId="0" xfId="0" applyNumberFormat="1" applyFont="1" applyBorder="1"/>
    <xf numFmtId="167" fontId="2" fillId="0" borderId="0" xfId="0" applyNumberFormat="1" applyFont="1" applyBorder="1"/>
    <xf numFmtId="167" fontId="2" fillId="0" borderId="6" xfId="0" applyNumberFormat="1" applyFont="1" applyBorder="1"/>
    <xf numFmtId="167" fontId="62" fillId="0" borderId="0" xfId="0" applyNumberFormat="1" applyFont="1" applyBorder="1"/>
    <xf numFmtId="167" fontId="74" fillId="0" borderId="0" xfId="0" applyNumberFormat="1" applyFont="1" applyBorder="1"/>
    <xf numFmtId="0" fontId="0" fillId="0" borderId="19" xfId="0" applyBorder="1"/>
    <xf numFmtId="0" fontId="62" fillId="0" borderId="7" xfId="0" applyFont="1" applyBorder="1"/>
    <xf numFmtId="0" fontId="2" fillId="0" borderId="7" xfId="0" applyFont="1" applyBorder="1"/>
    <xf numFmtId="167" fontId="2" fillId="0" borderId="0" xfId="0" applyNumberFormat="1" applyFont="1" applyFill="1" applyBorder="1"/>
    <xf numFmtId="177" fontId="0" fillId="0" borderId="7" xfId="0" applyNumberFormat="1" applyBorder="1"/>
    <xf numFmtId="166" fontId="15" fillId="0" borderId="0" xfId="0" applyNumberFormat="1" applyFont="1" applyBorder="1"/>
    <xf numFmtId="177" fontId="2" fillId="0" borderId="0" xfId="0" applyNumberFormat="1" applyFont="1" applyFill="1" applyBorder="1"/>
    <xf numFmtId="167" fontId="22" fillId="0" borderId="0" xfId="0" applyNumberFormat="1" applyFont="1" applyBorder="1"/>
    <xf numFmtId="166" fontId="16" fillId="0" borderId="0" xfId="0" applyNumberFormat="1" applyFont="1"/>
    <xf numFmtId="2" fontId="22" fillId="0" borderId="0" xfId="0" applyNumberFormat="1" applyFont="1"/>
    <xf numFmtId="0" fontId="76" fillId="0" borderId="0" xfId="0" applyFont="1"/>
    <xf numFmtId="0" fontId="75" fillId="0" borderId="0" xfId="0" applyFont="1"/>
    <xf numFmtId="0" fontId="75" fillId="0" borderId="20" xfId="0" applyFont="1" applyBorder="1" applyAlignment="1">
      <alignment horizontal="center"/>
    </xf>
    <xf numFmtId="0" fontId="77" fillId="0" borderId="20" xfId="0" applyFont="1" applyBorder="1" applyAlignment="1">
      <alignment horizontal="center"/>
    </xf>
    <xf numFmtId="0" fontId="78" fillId="0" borderId="20" xfId="0" applyFont="1" applyBorder="1" applyAlignment="1">
      <alignment horizontal="center"/>
    </xf>
    <xf numFmtId="0" fontId="75" fillId="0" borderId="20" xfId="0" applyFont="1" applyFill="1" applyBorder="1" applyAlignment="1">
      <alignment horizontal="center"/>
    </xf>
    <xf numFmtId="166" fontId="75" fillId="0" borderId="20" xfId="0" applyNumberFormat="1" applyFont="1" applyFill="1" applyBorder="1" applyAlignment="1">
      <alignment horizontal="center"/>
    </xf>
    <xf numFmtId="0" fontId="80" fillId="0" borderId="0" xfId="0" applyFont="1"/>
    <xf numFmtId="0" fontId="0" fillId="0" borderId="20" xfId="0" applyBorder="1" applyAlignment="1">
      <alignment horizontal="center"/>
    </xf>
    <xf numFmtId="166" fontId="0" fillId="0" borderId="20" xfId="0" applyNumberFormat="1" applyBorder="1"/>
    <xf numFmtId="9" fontId="80" fillId="0" borderId="0" xfId="0" applyNumberFormat="1" applyFont="1"/>
    <xf numFmtId="0" fontId="0" fillId="0" borderId="0" xfId="0" applyBorder="1" applyAlignment="1">
      <alignment horizontal="center"/>
    </xf>
    <xf numFmtId="9" fontId="0" fillId="0" borderId="0" xfId="0" applyNumberFormat="1"/>
    <xf numFmtId="0" fontId="82" fillId="0" borderId="0" xfId="0" applyFont="1"/>
    <xf numFmtId="169" fontId="0" fillId="0" borderId="0" xfId="0" applyNumberFormat="1"/>
    <xf numFmtId="166" fontId="83" fillId="0" borderId="0" xfId="0" applyNumberFormat="1" applyFont="1"/>
    <xf numFmtId="0" fontId="26" fillId="0" borderId="18" xfId="0" applyFont="1" applyBorder="1" applyAlignment="1">
      <alignment horizontal="centerContinuous"/>
    </xf>
    <xf numFmtId="0" fontId="3" fillId="0" borderId="21" xfId="0" applyFont="1" applyBorder="1"/>
    <xf numFmtId="166" fontId="23" fillId="0" borderId="22" xfId="0" applyNumberFormat="1" applyFont="1" applyBorder="1"/>
    <xf numFmtId="166" fontId="15" fillId="0" borderId="13" xfId="0" applyNumberFormat="1" applyFont="1" applyBorder="1"/>
    <xf numFmtId="2" fontId="22" fillId="0" borderId="0" xfId="0" applyNumberFormat="1" applyFont="1" applyBorder="1"/>
    <xf numFmtId="0" fontId="7" fillId="0" borderId="6" xfId="0" applyFont="1" applyBorder="1"/>
    <xf numFmtId="0" fontId="7" fillId="0" borderId="2" xfId="0" applyFont="1" applyBorder="1"/>
    <xf numFmtId="0" fontId="0" fillId="0" borderId="6" xfId="0" applyFill="1" applyBorder="1"/>
    <xf numFmtId="2" fontId="83" fillId="0" borderId="0" xfId="0" quotePrefix="1" applyNumberFormat="1" applyFont="1"/>
    <xf numFmtId="166" fontId="86" fillId="0" borderId="0" xfId="0" quotePrefix="1" applyNumberFormat="1" applyFont="1"/>
    <xf numFmtId="166" fontId="86" fillId="0" borderId="0" xfId="0" applyNumberFormat="1" applyFont="1"/>
    <xf numFmtId="2" fontId="87" fillId="0" borderId="0" xfId="0" applyNumberFormat="1" applyFont="1"/>
    <xf numFmtId="0" fontId="88" fillId="0" borderId="0" xfId="0" applyFont="1" applyAlignment="1">
      <alignment horizontal="centerContinuous"/>
    </xf>
    <xf numFmtId="0" fontId="75" fillId="0" borderId="0" xfId="0" applyFont="1" applyAlignment="1">
      <alignment horizontal="center"/>
    </xf>
    <xf numFmtId="0" fontId="81" fillId="0" borderId="0" xfId="0" applyFont="1"/>
    <xf numFmtId="2" fontId="0" fillId="0" borderId="0" xfId="0" applyNumberFormat="1" applyFont="1"/>
    <xf numFmtId="2" fontId="86" fillId="0" borderId="0" xfId="0" applyNumberFormat="1" applyFont="1"/>
    <xf numFmtId="2" fontId="89" fillId="0" borderId="0" xfId="0" applyNumberFormat="1" applyFont="1"/>
    <xf numFmtId="2" fontId="87" fillId="0" borderId="0" xfId="0" quotePrefix="1" applyNumberFormat="1" applyFont="1"/>
    <xf numFmtId="2" fontId="90" fillId="0" borderId="0" xfId="0" applyNumberFormat="1" applyFont="1"/>
    <xf numFmtId="2" fontId="75" fillId="0" borderId="0" xfId="0" applyNumberFormat="1" applyFont="1"/>
    <xf numFmtId="167" fontId="91" fillId="0" borderId="0" xfId="0" applyNumberFormat="1" applyFont="1"/>
    <xf numFmtId="10" fontId="88" fillId="0" borderId="0" xfId="0" applyNumberFormat="1" applyFont="1"/>
    <xf numFmtId="0" fontId="40" fillId="0" borderId="0" xfId="0" applyFont="1"/>
    <xf numFmtId="0" fontId="92" fillId="0" borderId="0" xfId="0" applyFont="1"/>
    <xf numFmtId="2" fontId="0" fillId="0" borderId="0" xfId="0" applyNumberFormat="1" applyAlignment="1">
      <alignment horizontal="center"/>
    </xf>
    <xf numFmtId="9" fontId="16" fillId="0" borderId="0" xfId="0" applyNumberFormat="1" applyFont="1"/>
    <xf numFmtId="0" fontId="21" fillId="0" borderId="0" xfId="0" applyFont="1"/>
    <xf numFmtId="170" fontId="16" fillId="0" borderId="0" xfId="0" applyNumberFormat="1" applyFont="1"/>
    <xf numFmtId="0" fontId="16" fillId="0" borderId="0" xfId="0" quotePrefix="1" applyFont="1"/>
    <xf numFmtId="166" fontId="21" fillId="0" borderId="0" xfId="0" applyNumberFormat="1" applyFont="1"/>
    <xf numFmtId="3" fontId="16" fillId="0" borderId="0" xfId="0" applyNumberFormat="1" applyFont="1"/>
    <xf numFmtId="166" fontId="7" fillId="0" borderId="0" xfId="0" applyNumberFormat="1" applyFont="1"/>
    <xf numFmtId="2" fontId="16" fillId="0" borderId="0" xfId="0" applyNumberFormat="1" applyFont="1"/>
    <xf numFmtId="166" fontId="16" fillId="0" borderId="0" xfId="0" quotePrefix="1" applyNumberFormat="1" applyFont="1"/>
    <xf numFmtId="0" fontId="94" fillId="0" borderId="0" xfId="0" applyFont="1"/>
    <xf numFmtId="3" fontId="0" fillId="0" borderId="0" xfId="0" quotePrefix="1" applyNumberFormat="1"/>
    <xf numFmtId="3" fontId="8" fillId="0" borderId="0" xfId="0" applyNumberFormat="1" applyFont="1"/>
    <xf numFmtId="180" fontId="3" fillId="0" borderId="0" xfId="0" applyNumberFormat="1" applyFont="1"/>
    <xf numFmtId="3" fontId="37" fillId="0" borderId="0" xfId="0" quotePrefix="1" applyNumberFormat="1" applyFont="1"/>
    <xf numFmtId="3" fontId="37" fillId="0" borderId="0" xfId="0" applyNumberFormat="1" applyFont="1"/>
    <xf numFmtId="2" fontId="21" fillId="0" borderId="0" xfId="0" applyNumberFormat="1" applyFont="1"/>
    <xf numFmtId="0" fontId="2" fillId="0" borderId="0" xfId="0" applyFont="1" applyBorder="1"/>
    <xf numFmtId="0" fontId="96" fillId="0" borderId="0" xfId="0" applyFont="1"/>
    <xf numFmtId="170" fontId="3" fillId="0" borderId="0" xfId="0" applyNumberFormat="1" applyFont="1"/>
    <xf numFmtId="2" fontId="0" fillId="0" borderId="20" xfId="0" applyNumberFormat="1" applyBorder="1"/>
    <xf numFmtId="4" fontId="67" fillId="0" borderId="0" xfId="3" quotePrefix="1" applyNumberFormat="1" applyFont="1"/>
    <xf numFmtId="179" fontId="55" fillId="0" borderId="0" xfId="3" applyNumberFormat="1" applyFont="1"/>
    <xf numFmtId="4" fontId="55" fillId="0" borderId="0" xfId="3" quotePrefix="1" applyNumberFormat="1" applyFont="1"/>
    <xf numFmtId="9" fontId="55" fillId="0" borderId="0" xfId="0" applyNumberFormat="1" applyFont="1"/>
    <xf numFmtId="166" fontId="65" fillId="0" borderId="0" xfId="3" applyNumberFormat="1" applyFont="1"/>
    <xf numFmtId="166" fontId="55" fillId="3" borderId="0" xfId="3" applyNumberFormat="1" applyFont="1" applyFill="1"/>
    <xf numFmtId="167" fontId="55" fillId="3" borderId="0" xfId="3" applyNumberFormat="1" applyFont="1" applyFill="1"/>
    <xf numFmtId="4" fontId="3" fillId="0" borderId="0" xfId="0" applyNumberFormat="1" applyFont="1"/>
    <xf numFmtId="166" fontId="75" fillId="0" borderId="0" xfId="0" applyNumberFormat="1" applyFont="1" applyFill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66" fontId="62" fillId="0" borderId="20" xfId="0" applyNumberFormat="1" applyFont="1" applyBorder="1"/>
    <xf numFmtId="166" fontId="62" fillId="0" borderId="0" xfId="0" applyNumberFormat="1" applyFont="1" applyBorder="1"/>
    <xf numFmtId="2" fontId="2" fillId="0" borderId="20" xfId="0" applyNumberFormat="1" applyFont="1" applyBorder="1" applyAlignment="1">
      <alignment horizontal="center"/>
    </xf>
    <xf numFmtId="166" fontId="90" fillId="0" borderId="0" xfId="0" applyNumberFormat="1" applyFont="1"/>
    <xf numFmtId="166" fontId="80" fillId="0" borderId="0" xfId="0" applyNumberFormat="1" applyFont="1"/>
    <xf numFmtId="0" fontId="83" fillId="0" borderId="0" xfId="0" applyFont="1"/>
    <xf numFmtId="0" fontId="75" fillId="0" borderId="0" xfId="0" applyFont="1" applyAlignment="1">
      <alignment horizontal="centerContinuous"/>
    </xf>
    <xf numFmtId="2" fontId="102" fillId="0" borderId="0" xfId="0" applyNumberFormat="1" applyFont="1" applyBorder="1"/>
    <xf numFmtId="0" fontId="103" fillId="0" borderId="20" xfId="0" applyFont="1" applyBorder="1" applyAlignment="1">
      <alignment horizontal="center"/>
    </xf>
    <xf numFmtId="0" fontId="102" fillId="0" borderId="0" xfId="0" applyFont="1" applyBorder="1"/>
    <xf numFmtId="166" fontId="86" fillId="0" borderId="20" xfId="0" applyNumberFormat="1" applyFont="1" applyBorder="1"/>
    <xf numFmtId="166" fontId="77" fillId="0" borderId="20" xfId="0" applyNumberFormat="1" applyFont="1" applyBorder="1"/>
    <xf numFmtId="0" fontId="104" fillId="0" borderId="0" xfId="0" applyFont="1" applyBorder="1"/>
    <xf numFmtId="0" fontId="78" fillId="0" borderId="20" xfId="0" applyFont="1" applyFill="1" applyBorder="1" applyAlignment="1">
      <alignment horizontal="center"/>
    </xf>
    <xf numFmtId="166" fontId="75" fillId="0" borderId="20" xfId="0" applyNumberFormat="1" applyFont="1" applyBorder="1"/>
    <xf numFmtId="0" fontId="107" fillId="0" borderId="0" xfId="0" applyFont="1" applyBorder="1"/>
    <xf numFmtId="2" fontId="108" fillId="0" borderId="0" xfId="0" applyNumberFormat="1" applyFont="1" applyBorder="1"/>
    <xf numFmtId="0" fontId="61" fillId="0" borderId="0" xfId="0" applyFont="1" applyBorder="1"/>
    <xf numFmtId="2" fontId="109" fillId="0" borderId="0" xfId="0" applyNumberFormat="1" applyFont="1" applyBorder="1"/>
    <xf numFmtId="2" fontId="1" fillId="0" borderId="0" xfId="0" applyNumberFormat="1" applyFont="1" applyBorder="1"/>
    <xf numFmtId="2" fontId="110" fillId="0" borderId="0" xfId="0" applyNumberFormat="1" applyFont="1" applyBorder="1"/>
    <xf numFmtId="0" fontId="105" fillId="0" borderId="0" xfId="0" applyFont="1" applyBorder="1"/>
    <xf numFmtId="166" fontId="109" fillId="0" borderId="0" xfId="0" applyNumberFormat="1" applyFont="1" applyBorder="1"/>
    <xf numFmtId="166" fontId="8" fillId="0" borderId="0" xfId="0" applyNumberFormat="1" applyFont="1" applyBorder="1"/>
    <xf numFmtId="0" fontId="55" fillId="0" borderId="0" xfId="0" applyFont="1" applyBorder="1"/>
    <xf numFmtId="169" fontId="2" fillId="0" borderId="0" xfId="0" applyNumberFormat="1" applyFont="1" applyBorder="1"/>
    <xf numFmtId="169" fontId="3" fillId="0" borderId="0" xfId="0" applyNumberFormat="1" applyFont="1" applyBorder="1"/>
    <xf numFmtId="166" fontId="3" fillId="0" borderId="0" xfId="0" applyNumberFormat="1" applyFont="1" applyBorder="1"/>
    <xf numFmtId="0" fontId="2" fillId="0" borderId="6" xfId="0" applyFont="1" applyFill="1" applyBorder="1"/>
    <xf numFmtId="0" fontId="2" fillId="0" borderId="0" xfId="0" applyFont="1" applyFill="1" applyBorder="1"/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externalLink" Target="externalLinks/externalLink6.xml"/><Relationship Id="rId89" Type="http://schemas.openxmlformats.org/officeDocument/2006/relationships/externalLink" Target="externalLinks/externalLink11.xml"/><Relationship Id="rId97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1.xml"/><Relationship Id="rId87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4.xml"/><Relationship Id="rId90" Type="http://schemas.openxmlformats.org/officeDocument/2006/relationships/externalLink" Target="externalLinks/externalLink12.xml"/><Relationship Id="rId95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2.xml"/><Relationship Id="rId85" Type="http://schemas.openxmlformats.org/officeDocument/2006/relationships/externalLink" Target="externalLinks/externalLink7.xml"/><Relationship Id="rId93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5.xml"/><Relationship Id="rId88" Type="http://schemas.openxmlformats.org/officeDocument/2006/relationships/externalLink" Target="externalLinks/externalLink10.xml"/><Relationship Id="rId91" Type="http://schemas.openxmlformats.org/officeDocument/2006/relationships/externalLink" Target="externalLinks/externalLink13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externalLink" Target="externalLinks/externalLink3.xml"/><Relationship Id="rId86" Type="http://schemas.openxmlformats.org/officeDocument/2006/relationships/externalLink" Target="externalLinks/externalLink8.xml"/><Relationship Id="rId9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37890044576523307"/>
          <c:y val="3.6423841059602655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7.8751914491951333E-2"/>
          <c:y val="0.21192052980132567"/>
          <c:w val="0.57503756430915409"/>
          <c:h val="0.52980132450331163"/>
        </c:manualLayout>
      </c:layout>
      <c:lineChart>
        <c:grouping val="standard"/>
        <c:ser>
          <c:idx val="0"/>
          <c:order val="0"/>
          <c:tx>
            <c:strRef>
              <c:f>'INTRINSIC CALL'!$A$5</c:f>
              <c:strCache>
                <c:ptCount val="1"/>
                <c:pt idx="0">
                  <c:v>CALL INTRINSIC VALUE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'INTRINSIC CALL'!$B$3:$N$3</c:f>
              <c:numCache>
                <c:formatCode>General</c:formatCode>
                <c:ptCount val="13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</c:numCache>
            </c:numRef>
          </c:cat>
          <c:val>
            <c:numRef>
              <c:f>'INTRINSIC CALL'!$B$5:$N$5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50</c:v>
                </c:pt>
                <c:pt idx="7">
                  <c:v>75</c:v>
                </c:pt>
                <c:pt idx="8">
                  <c:v>100</c:v>
                </c:pt>
                <c:pt idx="9">
                  <c:v>125</c:v>
                </c:pt>
                <c:pt idx="10">
                  <c:v>150</c:v>
                </c:pt>
                <c:pt idx="11">
                  <c:v>175</c:v>
                </c:pt>
                <c:pt idx="12">
                  <c:v>200</c:v>
                </c:pt>
              </c:numCache>
            </c:numRef>
          </c:val>
        </c:ser>
        <c:marker val="1"/>
        <c:axId val="131920256"/>
        <c:axId val="131922944"/>
      </c:lineChart>
      <c:catAx>
        <c:axId val="1319202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ASSET VALUE</a:t>
                </a:r>
              </a:p>
            </c:rich>
          </c:tx>
          <c:layout>
            <c:manualLayout>
              <c:xMode val="edge"/>
              <c:yMode val="edge"/>
              <c:x val="0.28826167160011384"/>
              <c:y val="0.8576158940397409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922944"/>
        <c:crosses val="autoZero"/>
        <c:auto val="1"/>
        <c:lblAlgn val="ctr"/>
        <c:lblOffset val="100"/>
        <c:tickLblSkip val="1"/>
        <c:tickMarkSkip val="1"/>
      </c:catAx>
      <c:valAx>
        <c:axId val="1319229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92025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093657497864758"/>
          <c:y val="0.43708609271523458"/>
          <c:w val="0.29717697620635763"/>
          <c:h val="7.947019867549666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55" r="0.7500000000000045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REAL CALL OPTION</a:t>
            </a:r>
          </a:p>
        </c:rich>
      </c:tx>
      <c:layout>
        <c:manualLayout>
          <c:xMode val="edge"/>
          <c:yMode val="edge"/>
          <c:x val="0.33633633633633636"/>
          <c:y val="3.23450134770893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087214783946182E-2"/>
          <c:y val="0.21563342318059417"/>
          <c:w val="0.62012102940982983"/>
          <c:h val="0.57142857142857795"/>
        </c:manualLayout>
      </c:layout>
      <c:lineChart>
        <c:grouping val="standard"/>
        <c:ser>
          <c:idx val="0"/>
          <c:order val="0"/>
          <c:tx>
            <c:strRef>
              <c:f>'CALL OPTION'!$A$8</c:f>
              <c:strCache>
                <c:ptCount val="1"/>
                <c:pt idx="0">
                  <c:v>CALL PRICE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'CALL OPTION'!$B$3:$N$3</c:f>
              <c:numCache>
                <c:formatCode>General</c:formatCode>
                <c:ptCount val="13"/>
                <c:pt idx="0" formatCode="0.00">
                  <c:v>1E-8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</c:numCache>
            </c:numRef>
          </c:cat>
          <c:val>
            <c:numRef>
              <c:f>'CALL OPTION'!$B$8:$N$8</c:f>
              <c:numCache>
                <c:formatCode>0.00</c:formatCode>
                <c:ptCount val="13"/>
                <c:pt idx="0">
                  <c:v>1.3056288553138878E-235</c:v>
                </c:pt>
                <c:pt idx="1">
                  <c:v>0.43615012465267267</c:v>
                </c:pt>
                <c:pt idx="2">
                  <c:v>5.1406281319309386</c:v>
                </c:pt>
                <c:pt idx="3">
                  <c:v>15.886948530654259</c:v>
                </c:pt>
                <c:pt idx="4">
                  <c:v>31.327683827656472</c:v>
                </c:pt>
                <c:pt idx="5">
                  <c:v>49.929197434795533</c:v>
                </c:pt>
                <c:pt idx="6">
                  <c:v>70.593995577513695</c:v>
                </c:pt>
                <c:pt idx="7">
                  <c:v>92.608338501808802</c:v>
                </c:pt>
                <c:pt idx="8">
                  <c:v>115.5168226798594</c:v>
                </c:pt>
                <c:pt idx="9">
                  <c:v>139.02744992474533</c:v>
                </c:pt>
                <c:pt idx="10">
                  <c:v>162.95048298519617</c:v>
                </c:pt>
                <c:pt idx="11">
                  <c:v>187.16062969160689</c:v>
                </c:pt>
                <c:pt idx="12" formatCode="0.00_)">
                  <c:v>211.57376695984868</c:v>
                </c:pt>
              </c:numCache>
            </c:numRef>
          </c:val>
        </c:ser>
        <c:ser>
          <c:idx val="1"/>
          <c:order val="1"/>
          <c:tx>
            <c:strRef>
              <c:f>'CALL OPTION'!$A$9</c:f>
              <c:strCache>
                <c:ptCount val="1"/>
                <c:pt idx="0">
                  <c:v>CALL INTRINSIC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'CALL OPTION'!$B$3:$N$3</c:f>
              <c:numCache>
                <c:formatCode>General</c:formatCode>
                <c:ptCount val="13"/>
                <c:pt idx="0" formatCode="0.00">
                  <c:v>1E-8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</c:numCache>
            </c:numRef>
          </c:cat>
          <c:val>
            <c:numRef>
              <c:f>'CALL OPTION'!$B$9:$N$9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50</c:v>
                </c:pt>
                <c:pt idx="7">
                  <c:v>75</c:v>
                </c:pt>
                <c:pt idx="8">
                  <c:v>100</c:v>
                </c:pt>
                <c:pt idx="9">
                  <c:v>125</c:v>
                </c:pt>
                <c:pt idx="10">
                  <c:v>150</c:v>
                </c:pt>
                <c:pt idx="11">
                  <c:v>175</c:v>
                </c:pt>
                <c:pt idx="12" formatCode="General">
                  <c:v>200</c:v>
                </c:pt>
              </c:numCache>
            </c:numRef>
          </c:val>
        </c:ser>
        <c:marker val="1"/>
        <c:axId val="132222336"/>
        <c:axId val="132224896"/>
      </c:lineChart>
      <c:catAx>
        <c:axId val="132222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ASSET VALUE</a:t>
                </a:r>
              </a:p>
            </c:rich>
          </c:tx>
          <c:layout>
            <c:manualLayout>
              <c:xMode val="edge"/>
              <c:yMode val="edge"/>
              <c:x val="0.30780828072167055"/>
              <c:y val="0.8814016172506788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24896"/>
        <c:crosses val="autoZero"/>
        <c:auto val="1"/>
        <c:lblAlgn val="ctr"/>
        <c:lblOffset val="100"/>
        <c:tickLblSkip val="1"/>
        <c:tickMarkSkip val="1"/>
      </c:catAx>
      <c:valAx>
        <c:axId val="1322248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2233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4745848210425"/>
          <c:y val="0.43665768194070426"/>
          <c:w val="0.24324355851914944"/>
          <c:h val="0.1320754716981131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55" r="0.7500000000000045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REAL CALL PRICE as Function of Time to Expiration</a:t>
            </a:r>
          </a:p>
        </c:rich>
      </c:tx>
      <c:layout>
        <c:manualLayout>
          <c:xMode val="edge"/>
          <c:yMode val="edge"/>
          <c:x val="0.19335347432024169"/>
          <c:y val="3.4375000000000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4018126888217933E-2"/>
          <c:y val="0.21562500000000001"/>
          <c:w val="0.67069486404834755"/>
          <c:h val="0.53437500000000004"/>
        </c:manualLayout>
      </c:layout>
      <c:lineChart>
        <c:grouping val="standard"/>
        <c:ser>
          <c:idx val="0"/>
          <c:order val="0"/>
          <c:tx>
            <c:strRef>
              <c:f>[3]CALLl_TIME!$A$6</c:f>
              <c:strCache>
                <c:ptCount val="1"/>
                <c:pt idx="0">
                  <c:v>CALL PRICE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[3]CALLl_TIME!$B$5:$N$5</c:f>
              <c:numCache>
                <c:formatCode>General</c:formatCode>
                <c:ptCount val="13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</c:numCache>
            </c:numRef>
          </c:cat>
          <c:val>
            <c:numRef>
              <c:f>[3]CALLl_TIME!$B$6:$N$6</c:f>
              <c:numCache>
                <c:formatCode>General</c:formatCode>
                <c:ptCount val="13"/>
                <c:pt idx="0">
                  <c:v>15.127174226438719</c:v>
                </c:pt>
                <c:pt idx="1">
                  <c:v>21.792599909495252</c:v>
                </c:pt>
                <c:pt idx="2">
                  <c:v>26.96572636624488</c:v>
                </c:pt>
                <c:pt idx="3">
                  <c:v>31.327681372697036</c:v>
                </c:pt>
                <c:pt idx="4">
                  <c:v>35.14796655308978</c:v>
                </c:pt>
                <c:pt idx="5">
                  <c:v>38.567827516156434</c:v>
                </c:pt>
                <c:pt idx="6">
                  <c:v>41.673063441514209</c:v>
                </c:pt>
                <c:pt idx="7">
                  <c:v>44.520869947624234</c:v>
                </c:pt>
                <c:pt idx="8">
                  <c:v>47.151910614506249</c:v>
                </c:pt>
                <c:pt idx="9">
                  <c:v>49.596497220189718</c:v>
                </c:pt>
                <c:pt idx="10">
                  <c:v>51.878060097850948</c:v>
                </c:pt>
                <c:pt idx="11">
                  <c:v>54.015237296537613</c:v>
                </c:pt>
                <c:pt idx="12">
                  <c:v>56.023202727966634</c:v>
                </c:pt>
              </c:numCache>
            </c:numRef>
          </c:val>
        </c:ser>
        <c:marker val="1"/>
        <c:axId val="132535808"/>
        <c:axId val="132558848"/>
      </c:lineChart>
      <c:catAx>
        <c:axId val="1325358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(Years)</a:t>
                </a:r>
              </a:p>
            </c:rich>
          </c:tx>
          <c:layout>
            <c:manualLayout>
              <c:xMode val="edge"/>
              <c:yMode val="edge"/>
              <c:x val="0.33383685800604485"/>
              <c:y val="0.8625000000000000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58848"/>
        <c:crosses val="autoZero"/>
        <c:auto val="1"/>
        <c:lblAlgn val="ctr"/>
        <c:lblOffset val="100"/>
        <c:tickLblSkip val="1"/>
        <c:tickMarkSkip val="1"/>
      </c:catAx>
      <c:valAx>
        <c:axId val="1325588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3580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47734138972758"/>
          <c:y val="0.44374999999999998"/>
          <c:w val="0.20543806646525792"/>
          <c:h val="7.812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55" r="0.75000000000000455" t="1" header="0.5" footer="0.5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REAL CALL PRICE as Function of Expected Asset Volatility</a:t>
            </a:r>
          </a:p>
        </c:rich>
      </c:tx>
      <c:layout>
        <c:manualLayout>
          <c:xMode val="edge"/>
          <c:yMode val="edge"/>
          <c:x val="0.1212938005390843"/>
          <c:y val="3.519061583577713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6037779305942623E-2"/>
          <c:y val="0.22580645161290341"/>
          <c:w val="0.70080908651204465"/>
          <c:h val="0.53958944281524857"/>
        </c:manualLayout>
      </c:layout>
      <c:lineChart>
        <c:grouping val="standard"/>
        <c:ser>
          <c:idx val="0"/>
          <c:order val="0"/>
          <c:tx>
            <c:strRef>
              <c:f>[3]CALL_VOLATILITY!$A$6</c:f>
              <c:strCache>
                <c:ptCount val="1"/>
                <c:pt idx="0">
                  <c:v>CALL PRICE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[3]CALL_VOLATILITY!$B$4:$N$4</c:f>
              <c:numCache>
                <c:formatCode>General</c:formatCode>
                <c:ptCount val="13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>
                  <c:v>0.49999999999999994</c:v>
                </c:pt>
                <c:pt idx="10">
                  <c:v>0.54999999999999993</c:v>
                </c:pt>
                <c:pt idx="11">
                  <c:v>0.6</c:v>
                </c:pt>
                <c:pt idx="12">
                  <c:v>0.65</c:v>
                </c:pt>
              </c:numCache>
            </c:numRef>
          </c:cat>
          <c:val>
            <c:numRef>
              <c:f>[3]CALL_VOLATILITY!$B$6:$N$6</c:f>
              <c:numCache>
                <c:formatCode>General</c:formatCode>
                <c:ptCount val="13"/>
                <c:pt idx="0">
                  <c:v>5.2832670625505358</c:v>
                </c:pt>
                <c:pt idx="1">
                  <c:v>6.8049628767414845</c:v>
                </c:pt>
                <c:pt idx="2">
                  <c:v>8.5916594253844281</c:v>
                </c:pt>
                <c:pt idx="3">
                  <c:v>10.450575629120408</c:v>
                </c:pt>
                <c:pt idx="4">
                  <c:v>12.335985881706478</c:v>
                </c:pt>
                <c:pt idx="5">
                  <c:v>14.231244950504234</c:v>
                </c:pt>
                <c:pt idx="6">
                  <c:v>16.128427624240331</c:v>
                </c:pt>
                <c:pt idx="7">
                  <c:v>18.022951531770786</c:v>
                </c:pt>
                <c:pt idx="8">
                  <c:v>19.911767916894426</c:v>
                </c:pt>
                <c:pt idx="9">
                  <c:v>21.792599909495252</c:v>
                </c:pt>
                <c:pt idx="10">
                  <c:v>23.663603276554539</c:v>
                </c:pt>
                <c:pt idx="11">
                  <c:v>25.523197290048806</c:v>
                </c:pt>
                <c:pt idx="12">
                  <c:v>27.369974028454649</c:v>
                </c:pt>
              </c:numCache>
            </c:numRef>
          </c:val>
        </c:ser>
        <c:marker val="1"/>
        <c:axId val="132500864"/>
        <c:axId val="132659072"/>
      </c:lineChart>
      <c:catAx>
        <c:axId val="132500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Expected Asset Volatility</a:t>
                </a:r>
              </a:p>
            </c:rich>
          </c:tx>
          <c:layout>
            <c:manualLayout>
              <c:xMode val="edge"/>
              <c:yMode val="edge"/>
              <c:x val="0.28571442720603318"/>
              <c:y val="0.8709677419354838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659072"/>
        <c:crosses val="autoZero"/>
        <c:auto val="1"/>
        <c:lblAlgn val="ctr"/>
        <c:lblOffset val="100"/>
        <c:tickLblSkip val="1"/>
        <c:tickMarkSkip val="1"/>
      </c:catAx>
      <c:valAx>
        <c:axId val="1326590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0086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93048510445631"/>
          <c:y val="0.46041055718475465"/>
          <c:w val="0.18328855119525275"/>
          <c:h val="7.33137829912024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55" r="0.75000000000000455" t="1" header="0.5" footer="0.5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"Perfect" Hedging with Commodity Futures</a:t>
            </a:r>
          </a:p>
        </c:rich>
      </c:tx>
      <c:layout>
        <c:manualLayout>
          <c:xMode val="edge"/>
          <c:yMode val="edge"/>
          <c:x val="0.19094766619519274"/>
          <c:y val="3.361344537815125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154172560113153"/>
          <c:y val="0.22128912073573381"/>
          <c:w val="0.54596888260254595"/>
          <c:h val="0.61904931243794459"/>
        </c:manualLayout>
      </c:layout>
      <c:lineChart>
        <c:grouping val="standard"/>
        <c:ser>
          <c:idx val="0"/>
          <c:order val="0"/>
          <c:tx>
            <c:strRef>
              <c:f>[4]Hedging!$A$2</c:f>
              <c:strCache>
                <c:ptCount val="1"/>
                <c:pt idx="0">
                  <c:v>OWN ASSET-DEBT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[4]Hedging!$B$2:$N$2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[4]Hedging!$B$2:$N$2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val>
        </c:ser>
        <c:ser>
          <c:idx val="1"/>
          <c:order val="1"/>
          <c:tx>
            <c:strRef>
              <c:f>[4]Hedging!$A$3</c:f>
              <c:strCache>
                <c:ptCount val="1"/>
                <c:pt idx="0">
                  <c:v>SHORT FUTURES POSITION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[4]Hedging!$B$2:$N$2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[4]Hedging!$B$3:$N$3</c:f>
              <c:numCache>
                <c:formatCode>General</c:formatCode>
                <c:ptCount val="13"/>
                <c:pt idx="0">
                  <c:v>150</c:v>
                </c:pt>
                <c:pt idx="1">
                  <c:v>125</c:v>
                </c:pt>
                <c:pt idx="2">
                  <c:v>100</c:v>
                </c:pt>
                <c:pt idx="3">
                  <c:v>75</c:v>
                </c:pt>
                <c:pt idx="4">
                  <c:v>50</c:v>
                </c:pt>
                <c:pt idx="5">
                  <c:v>25</c:v>
                </c:pt>
                <c:pt idx="6">
                  <c:v>0</c:v>
                </c:pt>
                <c:pt idx="7">
                  <c:v>-25</c:v>
                </c:pt>
                <c:pt idx="8">
                  <c:v>-50</c:v>
                </c:pt>
                <c:pt idx="9">
                  <c:v>-75</c:v>
                </c:pt>
                <c:pt idx="10">
                  <c:v>-100</c:v>
                </c:pt>
                <c:pt idx="11">
                  <c:v>-125</c:v>
                </c:pt>
                <c:pt idx="12">
                  <c:v>-150</c:v>
                </c:pt>
              </c:numCache>
            </c:numRef>
          </c:val>
        </c:ser>
        <c:ser>
          <c:idx val="2"/>
          <c:order val="2"/>
          <c:tx>
            <c:strRef>
              <c:f>[4]Hedging!$A$4</c:f>
              <c:strCache>
                <c:ptCount val="1"/>
                <c:pt idx="0">
                  <c:v>STRATEGY RESULT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[4]Hedging!$B$2:$N$2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[4]Hedging!$B$4:$N$4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132819584"/>
        <c:axId val="132826240"/>
      </c:lineChart>
      <c:catAx>
        <c:axId val="132819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Net Asset Value</a:t>
                </a:r>
              </a:p>
            </c:rich>
          </c:tx>
          <c:layout>
            <c:manualLayout>
              <c:xMode val="edge"/>
              <c:yMode val="edge"/>
              <c:x val="0.31541725601131543"/>
              <c:y val="0.8767530529272076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826240"/>
        <c:crosses val="autoZero"/>
        <c:auto val="1"/>
        <c:lblAlgn val="ctr"/>
        <c:lblOffset val="100"/>
        <c:tickLblSkip val="1"/>
        <c:tickMarkSkip val="1"/>
      </c:catAx>
      <c:valAx>
        <c:axId val="132826240"/>
        <c:scaling>
          <c:orientation val="minMax"/>
          <c:max val="150"/>
          <c:min val="-1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Net Gain/Loss</a:t>
                </a:r>
              </a:p>
            </c:rich>
          </c:tx>
          <c:layout>
            <c:manualLayout>
              <c:xMode val="edge"/>
              <c:yMode val="edge"/>
              <c:x val="2.2630834512022906E-2"/>
              <c:y val="0.37254990185050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8195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28712871287195"/>
          <c:y val="0.35014093826506981"/>
          <c:w val="0.27581329561527834"/>
          <c:h val="0.3641465405059663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55" r="0.75000000000000455" t="1" header="0.5" footer="0.5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STRATEGY 1: SELLING AN OPTION TO PURCHASE 
  AN OWNED NET ASSET</a:t>
            </a:r>
          </a:p>
        </c:rich>
      </c:tx>
      <c:layout>
        <c:manualLayout>
          <c:xMode val="edge"/>
          <c:yMode val="edge"/>
          <c:x val="0.13924050632911392"/>
          <c:y val="3.3994334277620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8607716639906173E-2"/>
          <c:y val="0.30028328611898031"/>
          <c:w val="0.59071811093270288"/>
          <c:h val="0.5382436260623229"/>
        </c:manualLayout>
      </c:layout>
      <c:lineChart>
        <c:grouping val="standard"/>
        <c:ser>
          <c:idx val="0"/>
          <c:order val="0"/>
          <c:tx>
            <c:strRef>
              <c:f>[4]Strategy1!$A$2</c:f>
              <c:strCache>
                <c:ptCount val="1"/>
                <c:pt idx="0">
                  <c:v>OWN ASSET-DEBT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[4]Strategy1!$B$2:$N$2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[4]Strategy1!$B$2:$N$2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val>
        </c:ser>
        <c:ser>
          <c:idx val="1"/>
          <c:order val="1"/>
          <c:tx>
            <c:strRef>
              <c:f>[4]Strategy1!$A$3</c:f>
              <c:strCache>
                <c:ptCount val="1"/>
                <c:pt idx="0">
                  <c:v>WRITE REAL CALL INTRINSIC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[4]Strategy1!$B$2:$N$2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[4]Strategy1!$B$3:$N$3</c:f>
              <c:numCache>
                <c:formatCode>General</c:formatCode>
                <c:ptCount val="1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0</c:v>
                </c:pt>
                <c:pt idx="8">
                  <c:v>-25</c:v>
                </c:pt>
                <c:pt idx="9">
                  <c:v>-50</c:v>
                </c:pt>
                <c:pt idx="10">
                  <c:v>-75</c:v>
                </c:pt>
                <c:pt idx="11">
                  <c:v>-100</c:v>
                </c:pt>
                <c:pt idx="12">
                  <c:v>-125</c:v>
                </c:pt>
              </c:numCache>
            </c:numRef>
          </c:val>
        </c:ser>
        <c:ser>
          <c:idx val="2"/>
          <c:order val="2"/>
          <c:tx>
            <c:strRef>
              <c:f>[4]Strategy1!$A$4</c:f>
              <c:strCache>
                <c:ptCount val="1"/>
                <c:pt idx="0">
                  <c:v>STRATEGY RESULT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[4]Strategy1!$B$2:$N$2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[4]Strategy1!$B$4:$N$4</c:f>
              <c:numCache>
                <c:formatCode>General</c:formatCode>
                <c:ptCount val="13"/>
                <c:pt idx="0">
                  <c:v>-125</c:v>
                </c:pt>
                <c:pt idx="1">
                  <c:v>-100</c:v>
                </c:pt>
                <c:pt idx="2">
                  <c:v>-75</c:v>
                </c:pt>
                <c:pt idx="3">
                  <c:v>-50</c:v>
                </c:pt>
                <c:pt idx="4">
                  <c:v>-25</c:v>
                </c:pt>
                <c:pt idx="5">
                  <c:v>0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</c:numCache>
            </c:numRef>
          </c:val>
        </c:ser>
        <c:marker val="1"/>
        <c:axId val="132762240"/>
        <c:axId val="132850816"/>
      </c:lineChart>
      <c:catAx>
        <c:axId val="132762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NET ASSET VALUE</a:t>
                </a:r>
              </a:p>
            </c:rich>
          </c:tx>
          <c:layout>
            <c:manualLayout>
              <c:xMode val="edge"/>
              <c:yMode val="edge"/>
              <c:x val="0.27426204635812929"/>
              <c:y val="0.8753541076487302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850816"/>
        <c:crosses val="autoZero"/>
        <c:auto val="1"/>
        <c:lblAlgn val="ctr"/>
        <c:lblOffset val="100"/>
        <c:tickLblSkip val="1"/>
        <c:tickMarkSkip val="1"/>
      </c:catAx>
      <c:valAx>
        <c:axId val="132850816"/>
        <c:scaling>
          <c:orientation val="minMax"/>
          <c:max val="150"/>
          <c:min val="-1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76224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448767216334264"/>
          <c:y val="0.3852691218130313"/>
          <c:w val="0.27426204635812923"/>
          <c:h val="0.3682719546742209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55" r="0.7500000000000045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STRATEGY 2: BUYING PROTECTIVE CALL TO COVER REQUIREMENT TO USE</a:t>
            </a:r>
            <a:r>
              <a:rPr lang="en-US" baseline="0"/>
              <a:t> NET ASSET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STRATEGY2!$A$3</c:f>
              <c:strCache>
                <c:ptCount val="1"/>
                <c:pt idx="0">
                  <c:v>REQUIRE USE OF NET ASSET</c:v>
                </c:pt>
              </c:strCache>
            </c:strRef>
          </c:tx>
          <c:cat>
            <c:numRef>
              <c:f>STRATEGY2!$B$2:$N$2</c:f>
              <c:numCache>
                <c:formatCode>#,##0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STRATEGY2!$B$3:$N$3</c:f>
              <c:numCache>
                <c:formatCode>#,##0</c:formatCode>
                <c:ptCount val="13"/>
                <c:pt idx="0">
                  <c:v>150</c:v>
                </c:pt>
                <c:pt idx="1">
                  <c:v>125</c:v>
                </c:pt>
                <c:pt idx="2">
                  <c:v>100</c:v>
                </c:pt>
                <c:pt idx="3">
                  <c:v>75</c:v>
                </c:pt>
                <c:pt idx="4">
                  <c:v>50</c:v>
                </c:pt>
                <c:pt idx="5">
                  <c:v>25</c:v>
                </c:pt>
                <c:pt idx="6">
                  <c:v>0</c:v>
                </c:pt>
                <c:pt idx="7">
                  <c:v>-25</c:v>
                </c:pt>
                <c:pt idx="8">
                  <c:v>-50</c:v>
                </c:pt>
                <c:pt idx="9">
                  <c:v>-75</c:v>
                </c:pt>
                <c:pt idx="10">
                  <c:v>-100</c:v>
                </c:pt>
                <c:pt idx="11">
                  <c:v>-125</c:v>
                </c:pt>
                <c:pt idx="12">
                  <c:v>-150</c:v>
                </c:pt>
              </c:numCache>
            </c:numRef>
          </c:val>
        </c:ser>
        <c:ser>
          <c:idx val="1"/>
          <c:order val="1"/>
          <c:tx>
            <c:strRef>
              <c:f>STRATEGY2!$A$4</c:f>
              <c:strCache>
                <c:ptCount val="1"/>
                <c:pt idx="0">
                  <c:v>BUY REAL CALL INTRINSIC</c:v>
                </c:pt>
              </c:strCache>
            </c:strRef>
          </c:tx>
          <c:cat>
            <c:numRef>
              <c:f>STRATEGY2!$B$2:$N$2</c:f>
              <c:numCache>
                <c:formatCode>#,##0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STRATEGY2!$B$4:$N$4</c:f>
              <c:numCache>
                <c:formatCode>#,##0</c:formatCode>
                <c:ptCount val="13"/>
                <c:pt idx="0">
                  <c:v>-10</c:v>
                </c:pt>
                <c:pt idx="1">
                  <c:v>-10</c:v>
                </c:pt>
                <c:pt idx="2">
                  <c:v>-10</c:v>
                </c:pt>
                <c:pt idx="3">
                  <c:v>-10</c:v>
                </c:pt>
                <c:pt idx="4">
                  <c:v>-10</c:v>
                </c:pt>
                <c:pt idx="5">
                  <c:v>-10</c:v>
                </c:pt>
                <c:pt idx="6">
                  <c:v>-10</c:v>
                </c:pt>
                <c:pt idx="7">
                  <c:v>15</c:v>
                </c:pt>
                <c:pt idx="8">
                  <c:v>40</c:v>
                </c:pt>
                <c:pt idx="9">
                  <c:v>65</c:v>
                </c:pt>
                <c:pt idx="10">
                  <c:v>90</c:v>
                </c:pt>
                <c:pt idx="11">
                  <c:v>115</c:v>
                </c:pt>
                <c:pt idx="12">
                  <c:v>140</c:v>
                </c:pt>
              </c:numCache>
            </c:numRef>
          </c:val>
        </c:ser>
        <c:ser>
          <c:idx val="2"/>
          <c:order val="2"/>
          <c:tx>
            <c:strRef>
              <c:f>STRATEGY2!$A$5</c:f>
              <c:strCache>
                <c:ptCount val="1"/>
                <c:pt idx="0">
                  <c:v>STRATEGY RESULT</c:v>
                </c:pt>
              </c:strCache>
            </c:strRef>
          </c:tx>
          <c:cat>
            <c:numRef>
              <c:f>STRATEGY2!$B$2:$N$2</c:f>
              <c:numCache>
                <c:formatCode>#,##0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STRATEGY2!$B$5:$N$5</c:f>
              <c:numCache>
                <c:formatCode>#,##0</c:formatCode>
                <c:ptCount val="13"/>
                <c:pt idx="0">
                  <c:v>140</c:v>
                </c:pt>
                <c:pt idx="1">
                  <c:v>115</c:v>
                </c:pt>
                <c:pt idx="2">
                  <c:v>90</c:v>
                </c:pt>
                <c:pt idx="3">
                  <c:v>65</c:v>
                </c:pt>
                <c:pt idx="4">
                  <c:v>40</c:v>
                </c:pt>
                <c:pt idx="5">
                  <c:v>15</c:v>
                </c:pt>
                <c:pt idx="6">
                  <c:v>-10</c:v>
                </c:pt>
                <c:pt idx="7">
                  <c:v>-10</c:v>
                </c:pt>
                <c:pt idx="8">
                  <c:v>-10</c:v>
                </c:pt>
                <c:pt idx="9">
                  <c:v>-10</c:v>
                </c:pt>
                <c:pt idx="10">
                  <c:v>-10</c:v>
                </c:pt>
                <c:pt idx="11">
                  <c:v>-10</c:v>
                </c:pt>
                <c:pt idx="12">
                  <c:v>-10</c:v>
                </c:pt>
              </c:numCache>
            </c:numRef>
          </c:val>
        </c:ser>
        <c:marker val="1"/>
        <c:axId val="132884352"/>
        <c:axId val="132898816"/>
      </c:lineChart>
      <c:catAx>
        <c:axId val="1328843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Net</a:t>
                </a:r>
                <a:r>
                  <a:rPr lang="en-US" baseline="0"/>
                  <a:t> Asset Value</a:t>
                </a:r>
                <a:endParaRPr lang="en-US"/>
              </a:p>
            </c:rich>
          </c:tx>
        </c:title>
        <c:numFmt formatCode="#,##0" sourceLinked="1"/>
        <c:tickLblPos val="nextTo"/>
        <c:crossAx val="132898816"/>
        <c:crosses val="autoZero"/>
        <c:auto val="1"/>
        <c:lblAlgn val="ctr"/>
        <c:lblOffset val="100"/>
      </c:catAx>
      <c:valAx>
        <c:axId val="132898816"/>
        <c:scaling>
          <c:orientation val="minMax"/>
          <c:max val="150"/>
          <c:min val="-150"/>
        </c:scaling>
        <c:axPos val="l"/>
        <c:majorGridlines/>
        <c:numFmt formatCode="#,##0" sourceLinked="1"/>
        <c:tickLblPos val="nextTo"/>
        <c:crossAx val="13288435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STRATEGY</a:t>
            </a:r>
            <a:r>
              <a:rPr lang="en-US" baseline="0"/>
              <a:t> 3: BUYING PROTECTIVE PUT TO COVER OWNED NET ASSET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STRATEGY3!$A$2</c:f>
              <c:strCache>
                <c:ptCount val="1"/>
                <c:pt idx="0">
                  <c:v>OWN ASSET-DEBT</c:v>
                </c:pt>
              </c:strCache>
            </c:strRef>
          </c:tx>
          <c:cat>
            <c:numRef>
              <c:f>STRATEGY3!$B$2:$N$2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STRATEGY3!$B$2:$N$2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val>
        </c:ser>
        <c:ser>
          <c:idx val="1"/>
          <c:order val="1"/>
          <c:tx>
            <c:strRef>
              <c:f>STRATEGY3!$A$3</c:f>
              <c:strCache>
                <c:ptCount val="1"/>
                <c:pt idx="0">
                  <c:v>BUY REAL PUT INTRINSIC</c:v>
                </c:pt>
              </c:strCache>
            </c:strRef>
          </c:tx>
          <c:cat>
            <c:numRef>
              <c:f>STRATEGY3!$B$2:$N$2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STRATEGY3!$B$3:$N$3</c:f>
              <c:numCache>
                <c:formatCode>General</c:formatCode>
                <c:ptCount val="13"/>
                <c:pt idx="0">
                  <c:v>140</c:v>
                </c:pt>
                <c:pt idx="1">
                  <c:v>115</c:v>
                </c:pt>
                <c:pt idx="2">
                  <c:v>90</c:v>
                </c:pt>
                <c:pt idx="3">
                  <c:v>65</c:v>
                </c:pt>
                <c:pt idx="4">
                  <c:v>40</c:v>
                </c:pt>
                <c:pt idx="5">
                  <c:v>15</c:v>
                </c:pt>
                <c:pt idx="6">
                  <c:v>-10</c:v>
                </c:pt>
                <c:pt idx="7">
                  <c:v>-10</c:v>
                </c:pt>
                <c:pt idx="8">
                  <c:v>-10</c:v>
                </c:pt>
                <c:pt idx="9">
                  <c:v>-10</c:v>
                </c:pt>
                <c:pt idx="10">
                  <c:v>-10</c:v>
                </c:pt>
                <c:pt idx="11">
                  <c:v>-10</c:v>
                </c:pt>
                <c:pt idx="12">
                  <c:v>-10</c:v>
                </c:pt>
              </c:numCache>
            </c:numRef>
          </c:val>
        </c:ser>
        <c:ser>
          <c:idx val="2"/>
          <c:order val="2"/>
          <c:tx>
            <c:strRef>
              <c:f>STRATEGY3!$A$4</c:f>
              <c:strCache>
                <c:ptCount val="1"/>
                <c:pt idx="0">
                  <c:v>STRATEGY RESULT</c:v>
                </c:pt>
              </c:strCache>
            </c:strRef>
          </c:tx>
          <c:cat>
            <c:numRef>
              <c:f>STRATEGY3!$B$2:$N$2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STRATEGY3!$B$4:$N$4</c:f>
              <c:numCache>
                <c:formatCode>General</c:formatCode>
                <c:ptCount val="13"/>
                <c:pt idx="0">
                  <c:v>-10</c:v>
                </c:pt>
                <c:pt idx="1">
                  <c:v>-10</c:v>
                </c:pt>
                <c:pt idx="2">
                  <c:v>-10</c:v>
                </c:pt>
                <c:pt idx="3">
                  <c:v>-10</c:v>
                </c:pt>
                <c:pt idx="4">
                  <c:v>-10</c:v>
                </c:pt>
                <c:pt idx="5">
                  <c:v>-10</c:v>
                </c:pt>
                <c:pt idx="6">
                  <c:v>-10</c:v>
                </c:pt>
                <c:pt idx="7">
                  <c:v>15</c:v>
                </c:pt>
                <c:pt idx="8">
                  <c:v>40</c:v>
                </c:pt>
                <c:pt idx="9">
                  <c:v>65</c:v>
                </c:pt>
                <c:pt idx="10">
                  <c:v>90</c:v>
                </c:pt>
                <c:pt idx="11">
                  <c:v>115</c:v>
                </c:pt>
                <c:pt idx="12">
                  <c:v>140</c:v>
                </c:pt>
              </c:numCache>
            </c:numRef>
          </c:val>
        </c:ser>
        <c:marker val="1"/>
        <c:axId val="133178880"/>
        <c:axId val="133180800"/>
      </c:lineChart>
      <c:catAx>
        <c:axId val="133178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Net</a:t>
                </a:r>
                <a:r>
                  <a:rPr lang="en-US" baseline="0"/>
                  <a:t> Asset Value</a:t>
                </a:r>
                <a:endParaRPr lang="en-US"/>
              </a:p>
            </c:rich>
          </c:tx>
        </c:title>
        <c:numFmt formatCode="General" sourceLinked="1"/>
        <c:tickLblPos val="nextTo"/>
        <c:crossAx val="133180800"/>
        <c:crosses val="autoZero"/>
        <c:auto val="1"/>
        <c:lblAlgn val="ctr"/>
        <c:lblOffset val="100"/>
      </c:catAx>
      <c:valAx>
        <c:axId val="133180800"/>
        <c:scaling>
          <c:orientation val="minMax"/>
          <c:max val="150"/>
          <c:min val="-150"/>
        </c:scaling>
        <c:axPos val="l"/>
        <c:majorGridlines/>
        <c:numFmt formatCode="General" sourceLinked="1"/>
        <c:tickLblPos val="nextTo"/>
        <c:crossAx val="13317888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STRATEGY 4: REQUIRE USE OF NET ASSET
 &amp; WRITE A PUT</a:t>
            </a:r>
          </a:p>
        </c:rich>
      </c:tx>
      <c:layout>
        <c:manualLayout>
          <c:xMode val="edge"/>
          <c:yMode val="edge"/>
          <c:x val="0.19660537482319659"/>
          <c:y val="3.550295857988165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9108910891089743E-2"/>
          <c:y val="0.30473372781065311"/>
          <c:w val="0.56152758132956149"/>
          <c:h val="0.5266272189349116"/>
        </c:manualLayout>
      </c:layout>
      <c:lineChart>
        <c:grouping val="standard"/>
        <c:ser>
          <c:idx val="0"/>
          <c:order val="0"/>
          <c:tx>
            <c:strRef>
              <c:f>[4]Strategy4!$A$3</c:f>
              <c:strCache>
                <c:ptCount val="1"/>
                <c:pt idx="0">
                  <c:v>REQUIRE USE OF NET ASSET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[4]Strategy4!$B$2:$N$2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[4]Strategy4!$B$3:$N$3</c:f>
              <c:numCache>
                <c:formatCode>General</c:formatCode>
                <c:ptCount val="13"/>
                <c:pt idx="0">
                  <c:v>150</c:v>
                </c:pt>
                <c:pt idx="1">
                  <c:v>125</c:v>
                </c:pt>
                <c:pt idx="2">
                  <c:v>100</c:v>
                </c:pt>
                <c:pt idx="3">
                  <c:v>75</c:v>
                </c:pt>
                <c:pt idx="4">
                  <c:v>50</c:v>
                </c:pt>
                <c:pt idx="5">
                  <c:v>25</c:v>
                </c:pt>
                <c:pt idx="6">
                  <c:v>0</c:v>
                </c:pt>
                <c:pt idx="7">
                  <c:v>-25</c:v>
                </c:pt>
                <c:pt idx="8">
                  <c:v>-50</c:v>
                </c:pt>
                <c:pt idx="9">
                  <c:v>-75</c:v>
                </c:pt>
                <c:pt idx="10">
                  <c:v>-100</c:v>
                </c:pt>
                <c:pt idx="11">
                  <c:v>-125</c:v>
                </c:pt>
                <c:pt idx="12">
                  <c:v>-150</c:v>
                </c:pt>
              </c:numCache>
            </c:numRef>
          </c:val>
        </c:ser>
        <c:ser>
          <c:idx val="1"/>
          <c:order val="1"/>
          <c:tx>
            <c:strRef>
              <c:f>[4]Strategy4!$A$4</c:f>
              <c:strCache>
                <c:ptCount val="1"/>
                <c:pt idx="0">
                  <c:v>WRITE REAL PUT INTRINSIC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[4]Strategy4!$B$2:$N$2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[4]Strategy4!$B$4:$N$4</c:f>
              <c:numCache>
                <c:formatCode>General</c:formatCode>
                <c:ptCount val="13"/>
                <c:pt idx="0">
                  <c:v>-125</c:v>
                </c:pt>
                <c:pt idx="1">
                  <c:v>-100</c:v>
                </c:pt>
                <c:pt idx="2">
                  <c:v>-75</c:v>
                </c:pt>
                <c:pt idx="3">
                  <c:v>-50</c:v>
                </c:pt>
                <c:pt idx="4">
                  <c:v>-25</c:v>
                </c:pt>
                <c:pt idx="5">
                  <c:v>0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</c:numCache>
            </c:numRef>
          </c:val>
        </c:ser>
        <c:ser>
          <c:idx val="2"/>
          <c:order val="2"/>
          <c:tx>
            <c:strRef>
              <c:f>[4]Strategy4!$A$5</c:f>
              <c:strCache>
                <c:ptCount val="1"/>
                <c:pt idx="0">
                  <c:v>STRATEGY RESULT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[4]Strategy4!$B$2:$N$2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[4]Strategy4!$B$5:$N$5</c:f>
              <c:numCache>
                <c:formatCode>General</c:formatCode>
                <c:ptCount val="1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0</c:v>
                </c:pt>
                <c:pt idx="8">
                  <c:v>-25</c:v>
                </c:pt>
                <c:pt idx="9">
                  <c:v>-50</c:v>
                </c:pt>
                <c:pt idx="10">
                  <c:v>-75</c:v>
                </c:pt>
                <c:pt idx="11">
                  <c:v>-100</c:v>
                </c:pt>
                <c:pt idx="12">
                  <c:v>-125</c:v>
                </c:pt>
              </c:numCache>
            </c:numRef>
          </c:val>
        </c:ser>
        <c:marker val="1"/>
        <c:axId val="133343104"/>
        <c:axId val="133349760"/>
      </c:lineChart>
      <c:catAx>
        <c:axId val="133343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NET ASSET VALUE</a:t>
                </a:r>
              </a:p>
            </c:rich>
          </c:tx>
          <c:layout>
            <c:manualLayout>
              <c:xMode val="edge"/>
              <c:yMode val="edge"/>
              <c:x val="0.25884016973126134"/>
              <c:y val="0.869822485207100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349760"/>
        <c:crosses val="autoZero"/>
        <c:auto val="1"/>
        <c:lblAlgn val="ctr"/>
        <c:lblOffset val="100"/>
        <c:tickLblSkip val="1"/>
        <c:tickMarkSkip val="1"/>
      </c:catAx>
      <c:valAx>
        <c:axId val="133349760"/>
        <c:scaling>
          <c:orientation val="minMax"/>
          <c:max val="150"/>
          <c:min val="-1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3431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599717114568604"/>
          <c:y val="0.37573964497041418"/>
          <c:w val="0.30268741159830281"/>
          <c:h val="0.384615384615384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55" r="0.75000000000000455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STRATEGY 5: BUYING REAL "COLLAR" TO PROTECT EXPOSED NET ASSETS</a:t>
            </a:r>
          </a:p>
        </c:rich>
      </c:tx>
      <c:layout>
        <c:manualLayout>
          <c:xMode val="edge"/>
          <c:yMode val="edge"/>
          <c:x val="0.11951219512195121"/>
          <c:y val="3.19410319410319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9024443254838576E-2"/>
          <c:y val="0.29729729729729731"/>
          <c:w val="0.55853691795500549"/>
          <c:h val="0.53808353808353804"/>
        </c:manualLayout>
      </c:layout>
      <c:lineChart>
        <c:grouping val="standard"/>
        <c:ser>
          <c:idx val="0"/>
          <c:order val="0"/>
          <c:tx>
            <c:strRef>
              <c:f>STRATEGY5!$A$2</c:f>
              <c:strCache>
                <c:ptCount val="1"/>
                <c:pt idx="0">
                  <c:v>OWN ASSET-DEBT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STRATEGY5!$B$2:$N$2</c:f>
              <c:numCache>
                <c:formatCode>#,##0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STRATEGY5!$B$2:$N$2</c:f>
              <c:numCache>
                <c:formatCode>#,##0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val>
        </c:ser>
        <c:ser>
          <c:idx val="1"/>
          <c:order val="1"/>
          <c:tx>
            <c:strRef>
              <c:f>STRATEGY5!$A$3</c:f>
              <c:strCache>
                <c:ptCount val="1"/>
                <c:pt idx="0">
                  <c:v>WRITE REAL CALL AT K2 INTRINSIC 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STRATEGY5!$B$2:$N$2</c:f>
              <c:numCache>
                <c:formatCode>#,##0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STRATEGY5!$B$3:$N$3</c:f>
              <c:numCache>
                <c:formatCode>#,##0</c:formatCode>
                <c:ptCount val="1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0</c:v>
                </c:pt>
                <c:pt idx="9">
                  <c:v>-25</c:v>
                </c:pt>
                <c:pt idx="10">
                  <c:v>-50</c:v>
                </c:pt>
                <c:pt idx="11">
                  <c:v>-75</c:v>
                </c:pt>
                <c:pt idx="12">
                  <c:v>-100</c:v>
                </c:pt>
              </c:numCache>
            </c:numRef>
          </c:val>
        </c:ser>
        <c:ser>
          <c:idx val="2"/>
          <c:order val="2"/>
          <c:tx>
            <c:strRef>
              <c:f>STRATEGY5!$A$4</c:f>
              <c:strCache>
                <c:ptCount val="1"/>
                <c:pt idx="0">
                  <c:v>BUY REAL PUT AT K1 INTRINSIC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STRATEGY5!$B$2:$N$2</c:f>
              <c:numCache>
                <c:formatCode>#,##0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STRATEGY5!$B$4:$N$4</c:f>
              <c:numCache>
                <c:formatCode>#,##0</c:formatCode>
                <c:ptCount val="13"/>
                <c:pt idx="0">
                  <c:v>140</c:v>
                </c:pt>
                <c:pt idx="1">
                  <c:v>115</c:v>
                </c:pt>
                <c:pt idx="2">
                  <c:v>90</c:v>
                </c:pt>
                <c:pt idx="3">
                  <c:v>65</c:v>
                </c:pt>
                <c:pt idx="4">
                  <c:v>40</c:v>
                </c:pt>
                <c:pt idx="5">
                  <c:v>15</c:v>
                </c:pt>
                <c:pt idx="6">
                  <c:v>-10</c:v>
                </c:pt>
                <c:pt idx="7">
                  <c:v>-10</c:v>
                </c:pt>
                <c:pt idx="8">
                  <c:v>-10</c:v>
                </c:pt>
                <c:pt idx="9">
                  <c:v>-10</c:v>
                </c:pt>
                <c:pt idx="10">
                  <c:v>-10</c:v>
                </c:pt>
                <c:pt idx="11">
                  <c:v>-10</c:v>
                </c:pt>
                <c:pt idx="12">
                  <c:v>-10</c:v>
                </c:pt>
              </c:numCache>
            </c:numRef>
          </c:val>
        </c:ser>
        <c:ser>
          <c:idx val="3"/>
          <c:order val="3"/>
          <c:tx>
            <c:strRef>
              <c:f>STRATEGY5!$A$5</c:f>
              <c:strCache>
                <c:ptCount val="1"/>
                <c:pt idx="0">
                  <c:v>STRATEGY RESULT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STRATEGY5!$B$2:$N$2</c:f>
              <c:numCache>
                <c:formatCode>#,##0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STRATEGY5!$B$5:$N$5</c:f>
              <c:numCache>
                <c:formatCode>#,##0</c:formatCode>
                <c:ptCount val="13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</c:numCache>
            </c:numRef>
          </c:val>
        </c:ser>
        <c:marker val="1"/>
        <c:axId val="108407040"/>
        <c:axId val="108413696"/>
      </c:lineChart>
      <c:catAx>
        <c:axId val="1084070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NET ASSET VALUE</a:t>
                </a:r>
              </a:p>
            </c:rich>
          </c:tx>
          <c:layout>
            <c:manualLayout>
              <c:xMode val="edge"/>
              <c:yMode val="edge"/>
              <c:x val="0.25365866461814235"/>
              <c:y val="0.8746928746928849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413696"/>
        <c:crosses val="autoZero"/>
        <c:auto val="1"/>
        <c:lblAlgn val="ctr"/>
        <c:lblOffset val="100"/>
        <c:tickLblSkip val="1"/>
        <c:tickMarkSkip val="1"/>
      </c:catAx>
      <c:valAx>
        <c:axId val="108413696"/>
        <c:scaling>
          <c:orientation val="minMax"/>
          <c:max val="150"/>
          <c:min val="-1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40704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804916458614084"/>
          <c:y val="0.31449631449631449"/>
          <c:w val="0.31219524998399595"/>
          <c:h val="0.5036855036855086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55" r="0.75000000000000455" t="1" header="0.5" footer="0.5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OWN</a:t>
            </a:r>
            <a:r>
              <a:rPr lang="en-US" baseline="0"/>
              <a:t> PROPERTY WITH RENOVATION OPTION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RENOVATION!$A$2</c:f>
              <c:strCache>
                <c:ptCount val="1"/>
                <c:pt idx="0">
                  <c:v>NET ASSET VALUE</c:v>
                </c:pt>
              </c:strCache>
            </c:strRef>
          </c:tx>
          <c:cat>
            <c:numRef>
              <c:f>RENOVATION!$B$2:$N$2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RENOVATION!$B$2:$N$2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val>
        </c:ser>
        <c:ser>
          <c:idx val="1"/>
          <c:order val="1"/>
          <c:tx>
            <c:strRef>
              <c:f>RENOVATION!$A$3</c:f>
              <c:strCache>
                <c:ptCount val="1"/>
                <c:pt idx="0">
                  <c:v>HOLD REAL CALL INTRINSIC</c:v>
                </c:pt>
              </c:strCache>
            </c:strRef>
          </c:tx>
          <c:cat>
            <c:numRef>
              <c:f>RENOVATION!$B$2:$N$2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RENOVATION!$B$3:$N$3</c:f>
              <c:numCache>
                <c:formatCode>General</c:formatCode>
                <c:ptCount val="13"/>
                <c:pt idx="0">
                  <c:v>-15</c:v>
                </c:pt>
                <c:pt idx="1">
                  <c:v>-15</c:v>
                </c:pt>
                <c:pt idx="2">
                  <c:v>-15</c:v>
                </c:pt>
                <c:pt idx="3">
                  <c:v>-15</c:v>
                </c:pt>
                <c:pt idx="4">
                  <c:v>-15</c:v>
                </c:pt>
                <c:pt idx="5">
                  <c:v>-15</c:v>
                </c:pt>
                <c:pt idx="6">
                  <c:v>-15</c:v>
                </c:pt>
                <c:pt idx="7">
                  <c:v>10</c:v>
                </c:pt>
                <c:pt idx="8">
                  <c:v>35</c:v>
                </c:pt>
                <c:pt idx="9">
                  <c:v>60</c:v>
                </c:pt>
                <c:pt idx="10">
                  <c:v>85</c:v>
                </c:pt>
                <c:pt idx="11">
                  <c:v>110</c:v>
                </c:pt>
                <c:pt idx="12">
                  <c:v>135</c:v>
                </c:pt>
              </c:numCache>
            </c:numRef>
          </c:val>
        </c:ser>
        <c:ser>
          <c:idx val="2"/>
          <c:order val="2"/>
          <c:tx>
            <c:strRef>
              <c:f>RENOVATION!$A$4</c:f>
              <c:strCache>
                <c:ptCount val="1"/>
                <c:pt idx="0">
                  <c:v>STRATEGY RESULT</c:v>
                </c:pt>
              </c:strCache>
            </c:strRef>
          </c:tx>
          <c:cat>
            <c:numRef>
              <c:f>RENOVATION!$B$2:$N$2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RENOVATION!$B$4:$N$4</c:f>
              <c:numCache>
                <c:formatCode>General</c:formatCode>
                <c:ptCount val="13"/>
                <c:pt idx="0">
                  <c:v>-165</c:v>
                </c:pt>
                <c:pt idx="1">
                  <c:v>-140</c:v>
                </c:pt>
                <c:pt idx="2">
                  <c:v>-115</c:v>
                </c:pt>
                <c:pt idx="3">
                  <c:v>-90</c:v>
                </c:pt>
                <c:pt idx="4">
                  <c:v>-65</c:v>
                </c:pt>
                <c:pt idx="5">
                  <c:v>-40</c:v>
                </c:pt>
                <c:pt idx="6">
                  <c:v>-15</c:v>
                </c:pt>
                <c:pt idx="7">
                  <c:v>35</c:v>
                </c:pt>
                <c:pt idx="8">
                  <c:v>85</c:v>
                </c:pt>
                <c:pt idx="9">
                  <c:v>135</c:v>
                </c:pt>
                <c:pt idx="10">
                  <c:v>185</c:v>
                </c:pt>
                <c:pt idx="11">
                  <c:v>235</c:v>
                </c:pt>
                <c:pt idx="12">
                  <c:v>285</c:v>
                </c:pt>
              </c:numCache>
            </c:numRef>
          </c:val>
        </c:ser>
        <c:marker val="1"/>
        <c:axId val="132920448"/>
        <c:axId val="132922368"/>
      </c:lineChart>
      <c:catAx>
        <c:axId val="132920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NET</a:t>
                </a:r>
                <a:r>
                  <a:rPr lang="en-US" baseline="0"/>
                  <a:t> ASSET VALUE</a:t>
                </a:r>
                <a:endParaRPr lang="en-US"/>
              </a:p>
            </c:rich>
          </c:tx>
        </c:title>
        <c:numFmt formatCode="General" sourceLinked="1"/>
        <c:tickLblPos val="nextTo"/>
        <c:crossAx val="132922368"/>
        <c:crosses val="autoZero"/>
        <c:auto val="1"/>
        <c:lblAlgn val="ctr"/>
        <c:lblOffset val="100"/>
      </c:catAx>
      <c:valAx>
        <c:axId val="132922368"/>
        <c:scaling>
          <c:orientation val="minMax"/>
          <c:max val="300"/>
          <c:min val="-175"/>
        </c:scaling>
        <c:axPos val="l"/>
        <c:majorGridlines/>
        <c:numFmt formatCode="General" sourceLinked="1"/>
        <c:tickLblPos val="nextTo"/>
        <c:crossAx val="13292044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OWN</a:t>
            </a:r>
            <a:r>
              <a:rPr lang="en-US" baseline="0"/>
              <a:t> PROPERTY WITH RENOVATION REQUIREMENT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RENOVATION_REQD!$A$2</c:f>
              <c:strCache>
                <c:ptCount val="1"/>
                <c:pt idx="0">
                  <c:v>OWN LEVERAGED PROPERTY</c:v>
                </c:pt>
              </c:strCache>
            </c:strRef>
          </c:tx>
          <c:cat>
            <c:numRef>
              <c:f>RENOVATION_REQD!$B$2:$N$2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RENOVATION_REQD!$B$2:$N$2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val>
        </c:ser>
        <c:ser>
          <c:idx val="1"/>
          <c:order val="1"/>
          <c:tx>
            <c:strRef>
              <c:f>RENOVATION_REQD!$A$3</c:f>
              <c:strCache>
                <c:ptCount val="1"/>
                <c:pt idx="0">
                  <c:v>RENOVATION REQUIREMENT</c:v>
                </c:pt>
              </c:strCache>
            </c:strRef>
          </c:tx>
          <c:cat>
            <c:numRef>
              <c:f>RENOVATION_REQD!$B$2:$N$2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RENOVATION_REQD!$B$3:$N$3</c:f>
              <c:numCache>
                <c:formatCode>General</c:formatCode>
                <c:ptCount val="13"/>
                <c:pt idx="0">
                  <c:v>-135</c:v>
                </c:pt>
                <c:pt idx="1">
                  <c:v>-110</c:v>
                </c:pt>
                <c:pt idx="2">
                  <c:v>-85</c:v>
                </c:pt>
                <c:pt idx="3">
                  <c:v>-60</c:v>
                </c:pt>
                <c:pt idx="4">
                  <c:v>-35</c:v>
                </c:pt>
                <c:pt idx="5">
                  <c:v>-10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</c:numCache>
            </c:numRef>
          </c:val>
        </c:ser>
        <c:ser>
          <c:idx val="2"/>
          <c:order val="2"/>
          <c:tx>
            <c:strRef>
              <c:f>RENOVATION_REQD!$A$4</c:f>
              <c:strCache>
                <c:ptCount val="1"/>
                <c:pt idx="0">
                  <c:v>STRATEGY RESULT</c:v>
                </c:pt>
              </c:strCache>
            </c:strRef>
          </c:tx>
          <c:cat>
            <c:numRef>
              <c:f>RENOVATION_REQD!$B$2:$N$2</c:f>
              <c:numCache>
                <c:formatCode>General</c:formatCode>
                <c:ptCount val="13"/>
                <c:pt idx="0">
                  <c:v>-150</c:v>
                </c:pt>
                <c:pt idx="1">
                  <c:v>-125</c:v>
                </c:pt>
                <c:pt idx="2">
                  <c:v>-100</c:v>
                </c:pt>
                <c:pt idx="3">
                  <c:v>-75</c:v>
                </c:pt>
                <c:pt idx="4">
                  <c:v>-50</c:v>
                </c:pt>
                <c:pt idx="5">
                  <c:v>-25</c:v>
                </c:pt>
                <c:pt idx="6">
                  <c:v>0</c:v>
                </c:pt>
                <c:pt idx="7">
                  <c:v>25</c:v>
                </c:pt>
                <c:pt idx="8">
                  <c:v>50</c:v>
                </c:pt>
                <c:pt idx="9">
                  <c:v>75</c:v>
                </c:pt>
                <c:pt idx="10">
                  <c:v>100</c:v>
                </c:pt>
                <c:pt idx="11">
                  <c:v>125</c:v>
                </c:pt>
                <c:pt idx="12">
                  <c:v>150</c:v>
                </c:pt>
              </c:numCache>
            </c:numRef>
          </c:cat>
          <c:val>
            <c:numRef>
              <c:f>RENOVATION_REQD!$B$4:$N$4</c:f>
              <c:numCache>
                <c:formatCode>General</c:formatCode>
                <c:ptCount val="13"/>
                <c:pt idx="0">
                  <c:v>-285</c:v>
                </c:pt>
                <c:pt idx="1">
                  <c:v>-235</c:v>
                </c:pt>
                <c:pt idx="2">
                  <c:v>-185</c:v>
                </c:pt>
                <c:pt idx="3">
                  <c:v>-135</c:v>
                </c:pt>
                <c:pt idx="4">
                  <c:v>-85</c:v>
                </c:pt>
                <c:pt idx="5">
                  <c:v>-35</c:v>
                </c:pt>
                <c:pt idx="6">
                  <c:v>15</c:v>
                </c:pt>
                <c:pt idx="7">
                  <c:v>40</c:v>
                </c:pt>
                <c:pt idx="8">
                  <c:v>65</c:v>
                </c:pt>
                <c:pt idx="9">
                  <c:v>90</c:v>
                </c:pt>
                <c:pt idx="10">
                  <c:v>115</c:v>
                </c:pt>
                <c:pt idx="11">
                  <c:v>140</c:v>
                </c:pt>
                <c:pt idx="12">
                  <c:v>165</c:v>
                </c:pt>
              </c:numCache>
            </c:numRef>
          </c:val>
        </c:ser>
        <c:marker val="1"/>
        <c:axId val="133501312"/>
        <c:axId val="133503232"/>
      </c:lineChart>
      <c:catAx>
        <c:axId val="1335013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NET</a:t>
                </a:r>
                <a:r>
                  <a:rPr lang="en-US" baseline="0"/>
                  <a:t> ASSET VALUE</a:t>
                </a:r>
                <a:endParaRPr lang="en-US"/>
              </a:p>
            </c:rich>
          </c:tx>
        </c:title>
        <c:numFmt formatCode="General" sourceLinked="1"/>
        <c:tickLblPos val="nextTo"/>
        <c:crossAx val="133503232"/>
        <c:crosses val="autoZero"/>
        <c:auto val="1"/>
        <c:lblAlgn val="ctr"/>
        <c:lblOffset val="100"/>
      </c:catAx>
      <c:valAx>
        <c:axId val="133503232"/>
        <c:scaling>
          <c:orientation val="minMax"/>
          <c:max val="175"/>
          <c:min val="-300"/>
        </c:scaling>
        <c:axPos val="l"/>
        <c:majorGridlines/>
        <c:numFmt formatCode="General" sourceLinked="1"/>
        <c:tickLblPos val="nextTo"/>
        <c:crossAx val="13350131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MANCITY &amp; COUNCIL SHARING ARRANGEMENT</a:t>
            </a:r>
          </a:p>
        </c:rich>
      </c:tx>
      <c:layout>
        <c:manualLayout>
          <c:xMode val="edge"/>
          <c:yMode val="edge"/>
          <c:x val="0.23316062176165767"/>
          <c:y val="3.359173126614987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409326424870463E-2"/>
          <c:y val="0.20930285373984006"/>
          <c:w val="0.72849740932642482"/>
          <c:h val="0.64341247631136023"/>
        </c:manualLayout>
      </c:layout>
      <c:lineChart>
        <c:grouping val="standard"/>
        <c:ser>
          <c:idx val="0"/>
          <c:order val="0"/>
          <c:tx>
            <c:strRef>
              <c:f>[4]CITY_SHARING!$A$11</c:f>
              <c:strCache>
                <c:ptCount val="1"/>
                <c:pt idx="0">
                  <c:v>MAN CITY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[4]CITY_SHARING!$B$9:$Z$9</c:f>
              <c:numCache>
                <c:formatCode>General</c:formatCode>
                <c:ptCount val="25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  <c:pt idx="24">
                  <c:v>48000</c:v>
                </c:pt>
              </c:numCache>
            </c:numRef>
          </c:cat>
          <c:val>
            <c:numRef>
              <c:f>[4]CITY_SHARING!$B$11:$Z$11</c:f>
              <c:numCache>
                <c:formatCode>General</c:formatCode>
                <c:ptCount val="25"/>
                <c:pt idx="0">
                  <c:v>-68000</c:v>
                </c:pt>
                <c:pt idx="1">
                  <c:v>-28000</c:v>
                </c:pt>
                <c:pt idx="2">
                  <c:v>12000</c:v>
                </c:pt>
                <c:pt idx="3">
                  <c:v>52000</c:v>
                </c:pt>
                <c:pt idx="4">
                  <c:v>92000</c:v>
                </c:pt>
                <c:pt idx="5">
                  <c:v>132000</c:v>
                </c:pt>
                <c:pt idx="6">
                  <c:v>172000</c:v>
                </c:pt>
                <c:pt idx="7">
                  <c:v>212000</c:v>
                </c:pt>
                <c:pt idx="8">
                  <c:v>252000</c:v>
                </c:pt>
                <c:pt idx="9">
                  <c:v>292000</c:v>
                </c:pt>
                <c:pt idx="10">
                  <c:v>332000</c:v>
                </c:pt>
                <c:pt idx="11">
                  <c:v>372000</c:v>
                </c:pt>
                <c:pt idx="12">
                  <c:v>412000</c:v>
                </c:pt>
                <c:pt idx="13">
                  <c:v>452000</c:v>
                </c:pt>
                <c:pt idx="14">
                  <c:v>492000</c:v>
                </c:pt>
                <c:pt idx="15">
                  <c:v>532000</c:v>
                </c:pt>
                <c:pt idx="16">
                  <c:v>572000</c:v>
                </c:pt>
                <c:pt idx="17">
                  <c:v>612000</c:v>
                </c:pt>
                <c:pt idx="18">
                  <c:v>652000</c:v>
                </c:pt>
                <c:pt idx="19">
                  <c:v>692000</c:v>
                </c:pt>
                <c:pt idx="20">
                  <c:v>732000</c:v>
                </c:pt>
                <c:pt idx="21">
                  <c:v>772000</c:v>
                </c:pt>
                <c:pt idx="22">
                  <c:v>812000</c:v>
                </c:pt>
                <c:pt idx="23">
                  <c:v>852000</c:v>
                </c:pt>
                <c:pt idx="24">
                  <c:v>892000</c:v>
                </c:pt>
              </c:numCache>
            </c:numRef>
          </c:val>
        </c:ser>
        <c:ser>
          <c:idx val="1"/>
          <c:order val="1"/>
          <c:tx>
            <c:strRef>
              <c:f>[4]CITY_SHARING!$A$12</c:f>
              <c:strCache>
                <c:ptCount val="1"/>
                <c:pt idx="0">
                  <c:v>COUNCIL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[4]CITY_SHARING!$B$9:$Z$9</c:f>
              <c:numCache>
                <c:formatCode>General</c:formatCode>
                <c:ptCount val="25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  <c:pt idx="24">
                  <c:v>48000</c:v>
                </c:pt>
              </c:numCache>
            </c:numRef>
          </c:cat>
          <c:val>
            <c:numRef>
              <c:f>[4]CITY_SHARING!$B$12:$Z$12</c:f>
              <c:numCache>
                <c:formatCode>General</c:formatCode>
                <c:ptCount val="25"/>
                <c:pt idx="0">
                  <c:v>68000</c:v>
                </c:pt>
                <c:pt idx="1">
                  <c:v>68000</c:v>
                </c:pt>
                <c:pt idx="2">
                  <c:v>68000</c:v>
                </c:pt>
                <c:pt idx="3">
                  <c:v>68000</c:v>
                </c:pt>
                <c:pt idx="4">
                  <c:v>68000</c:v>
                </c:pt>
                <c:pt idx="5">
                  <c:v>68000</c:v>
                </c:pt>
                <c:pt idx="6">
                  <c:v>68000</c:v>
                </c:pt>
                <c:pt idx="7">
                  <c:v>68000</c:v>
                </c:pt>
                <c:pt idx="8">
                  <c:v>68000</c:v>
                </c:pt>
                <c:pt idx="9">
                  <c:v>68000</c:v>
                </c:pt>
                <c:pt idx="10">
                  <c:v>68000</c:v>
                </c:pt>
                <c:pt idx="11">
                  <c:v>68000</c:v>
                </c:pt>
                <c:pt idx="12">
                  <c:v>68000</c:v>
                </c:pt>
                <c:pt idx="13">
                  <c:v>68000</c:v>
                </c:pt>
                <c:pt idx="14">
                  <c:v>68000</c:v>
                </c:pt>
                <c:pt idx="15">
                  <c:v>68000</c:v>
                </c:pt>
                <c:pt idx="16">
                  <c:v>68000</c:v>
                </c:pt>
                <c:pt idx="17">
                  <c:v>68000</c:v>
                </c:pt>
                <c:pt idx="18">
                  <c:v>68000</c:v>
                </c:pt>
                <c:pt idx="19">
                  <c:v>68000</c:v>
                </c:pt>
                <c:pt idx="20">
                  <c:v>68000</c:v>
                </c:pt>
                <c:pt idx="21">
                  <c:v>68000</c:v>
                </c:pt>
                <c:pt idx="22">
                  <c:v>68000</c:v>
                </c:pt>
                <c:pt idx="23">
                  <c:v>68000</c:v>
                </c:pt>
                <c:pt idx="24">
                  <c:v>68000</c:v>
                </c:pt>
              </c:numCache>
            </c:numRef>
          </c:val>
        </c:ser>
        <c:ser>
          <c:idx val="2"/>
          <c:order val="2"/>
          <c:tx>
            <c:strRef>
              <c:f>[4]CITY_SHARING!$A$13</c:f>
              <c:strCache>
                <c:ptCount val="1"/>
                <c:pt idx="0">
                  <c:v>MAN CITY(-)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[4]CITY_SHARING!$B$9:$Z$9</c:f>
              <c:numCache>
                <c:formatCode>General</c:formatCode>
                <c:ptCount val="25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  <c:pt idx="24">
                  <c:v>48000</c:v>
                </c:pt>
              </c:numCache>
            </c:numRef>
          </c:cat>
          <c:val>
            <c:numRef>
              <c:f>[4]CITY_SHARING!$B$13:$Z$13</c:f>
              <c:numCache>
                <c:formatCode>General</c:formatCode>
                <c:ptCount val="25"/>
                <c:pt idx="0">
                  <c:v>0</c:v>
                </c:pt>
                <c:pt idx="1">
                  <c:v>40000</c:v>
                </c:pt>
                <c:pt idx="2">
                  <c:v>80000</c:v>
                </c:pt>
                <c:pt idx="3">
                  <c:v>120000</c:v>
                </c:pt>
                <c:pt idx="4">
                  <c:v>160000</c:v>
                </c:pt>
                <c:pt idx="5">
                  <c:v>200000</c:v>
                </c:pt>
                <c:pt idx="6">
                  <c:v>240000</c:v>
                </c:pt>
                <c:pt idx="7">
                  <c:v>280000</c:v>
                </c:pt>
                <c:pt idx="8">
                  <c:v>320000</c:v>
                </c:pt>
                <c:pt idx="9">
                  <c:v>360000</c:v>
                </c:pt>
                <c:pt idx="10">
                  <c:v>400000</c:v>
                </c:pt>
                <c:pt idx="11">
                  <c:v>440000</c:v>
                </c:pt>
                <c:pt idx="12">
                  <c:v>480000</c:v>
                </c:pt>
                <c:pt idx="13">
                  <c:v>520000</c:v>
                </c:pt>
                <c:pt idx="14">
                  <c:v>560000</c:v>
                </c:pt>
                <c:pt idx="15">
                  <c:v>600000</c:v>
                </c:pt>
                <c:pt idx="16">
                  <c:v>640000</c:v>
                </c:pt>
                <c:pt idx="17">
                  <c:v>408000</c:v>
                </c:pt>
                <c:pt idx="18">
                  <c:v>432000</c:v>
                </c:pt>
                <c:pt idx="19">
                  <c:v>456000</c:v>
                </c:pt>
                <c:pt idx="20">
                  <c:v>480000</c:v>
                </c:pt>
                <c:pt idx="21">
                  <c:v>504000</c:v>
                </c:pt>
                <c:pt idx="22">
                  <c:v>528000</c:v>
                </c:pt>
                <c:pt idx="23">
                  <c:v>552000</c:v>
                </c:pt>
                <c:pt idx="24">
                  <c:v>576000</c:v>
                </c:pt>
              </c:numCache>
            </c:numRef>
          </c:val>
        </c:ser>
        <c:ser>
          <c:idx val="3"/>
          <c:order val="3"/>
          <c:tx>
            <c:strRef>
              <c:f>[4]CITY_SHARING!$A$14</c:f>
              <c:strCache>
                <c:ptCount val="1"/>
                <c:pt idx="0">
                  <c:v>COUNCIL(+)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x"/>
            <c:size val="10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[4]CITY_SHARING!$B$9:$Z$9</c:f>
              <c:numCache>
                <c:formatCode>General</c:formatCode>
                <c:ptCount val="25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  <c:pt idx="24">
                  <c:v>48000</c:v>
                </c:pt>
              </c:numCache>
            </c:numRef>
          </c:cat>
          <c:val>
            <c:numRef>
              <c:f>[4]CITY_SHARING!$B$14:$Z$14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272000</c:v>
                </c:pt>
                <c:pt idx="18">
                  <c:v>288000</c:v>
                </c:pt>
                <c:pt idx="19">
                  <c:v>304000</c:v>
                </c:pt>
                <c:pt idx="20">
                  <c:v>320000</c:v>
                </c:pt>
                <c:pt idx="21">
                  <c:v>336000</c:v>
                </c:pt>
                <c:pt idx="22">
                  <c:v>352000</c:v>
                </c:pt>
                <c:pt idx="23">
                  <c:v>368000</c:v>
                </c:pt>
                <c:pt idx="24">
                  <c:v>384000</c:v>
                </c:pt>
              </c:numCache>
            </c:numRef>
          </c:val>
        </c:ser>
        <c:marker val="1"/>
        <c:axId val="132614016"/>
        <c:axId val="132624384"/>
      </c:lineChart>
      <c:catAx>
        <c:axId val="1326140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ATTENDANCE</a:t>
                </a:r>
              </a:p>
            </c:rich>
          </c:tx>
          <c:layout>
            <c:manualLayout>
              <c:xMode val="edge"/>
              <c:yMode val="edge"/>
              <c:x val="0.4"/>
              <c:y val="0.886307079832074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624384"/>
        <c:crosses val="autoZero"/>
        <c:auto val="1"/>
        <c:lblAlgn val="ctr"/>
        <c:lblOffset val="100"/>
        <c:tickLblSkip val="1"/>
        <c:tickMarkSkip val="1"/>
      </c:catAx>
      <c:valAx>
        <c:axId val="1326243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61401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81347150259556"/>
          <c:y val="0.40568583965763982"/>
          <c:w val="0.13989637305699637"/>
          <c:h val="0.2506465373998820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55" r="0.75000000000000455" t="1" header="0.5" footer="0.5"/>
    <c:pageSetup paperSize="9" orientation="landscape" horizontalDpi="0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Samuelson-McKean</a:t>
            </a:r>
            <a:r>
              <a:rPr lang="en-US" baseline="0"/>
              <a:t> Real </a:t>
            </a:r>
          </a:p>
          <a:p>
            <a:pPr>
              <a:defRPr/>
            </a:pPr>
            <a:r>
              <a:rPr lang="en-US" baseline="0"/>
              <a:t>American Perpetual Call Option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SAMUELSON2!$A$14</c:f>
              <c:strCache>
                <c:ptCount val="1"/>
                <c:pt idx="0">
                  <c:v>DEVELOPMENT OPTION VALUE</c:v>
                </c:pt>
              </c:strCache>
            </c:strRef>
          </c:tx>
          <c:cat>
            <c:numRef>
              <c:f>SAMUELSON2!$B$9:$J$9</c:f>
              <c:numCache>
                <c:formatCode>[$$-409]#,##0.00</c:formatCode>
                <c:ptCount val="9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</c:numCache>
            </c:numRef>
          </c:cat>
          <c:val>
            <c:numRef>
              <c:f>SAMUELSON2!$B$14:$J$14</c:f>
              <c:numCache>
                <c:formatCode>[$$-409]#,##0.00</c:formatCode>
                <c:ptCount val="9"/>
                <c:pt idx="0">
                  <c:v>0</c:v>
                </c:pt>
                <c:pt idx="1">
                  <c:v>1.5625E-2</c:v>
                </c:pt>
                <c:pt idx="2">
                  <c:v>6.25E-2</c:v>
                </c:pt>
                <c:pt idx="3">
                  <c:v>0.140625</c:v>
                </c:pt>
                <c:pt idx="4">
                  <c:v>0.25</c:v>
                </c:pt>
                <c:pt idx="5">
                  <c:v>0.390625</c:v>
                </c:pt>
                <c:pt idx="6">
                  <c:v>0.5625</c:v>
                </c:pt>
                <c:pt idx="7">
                  <c:v>0.765625</c:v>
                </c:pt>
                <c:pt idx="8">
                  <c:v>1</c:v>
                </c:pt>
              </c:numCache>
            </c:numRef>
          </c:val>
        </c:ser>
        <c:ser>
          <c:idx val="1"/>
          <c:order val="1"/>
          <c:tx>
            <c:strRef>
              <c:f>SAMUELSON2!$A$15</c:f>
              <c:strCache>
                <c:ptCount val="1"/>
                <c:pt idx="0">
                  <c:v>INTRINSIC OPTION VALUE</c:v>
                </c:pt>
              </c:strCache>
            </c:strRef>
          </c:tx>
          <c:cat>
            <c:numRef>
              <c:f>SAMUELSON2!$B$9:$J$9</c:f>
              <c:numCache>
                <c:formatCode>[$$-409]#,##0.00</c:formatCode>
                <c:ptCount val="9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</c:numCache>
            </c:numRef>
          </c:cat>
          <c:val>
            <c:numRef>
              <c:f>SAMUELSON2!$B$15:$J$15</c:f>
              <c:numCache>
                <c:formatCode>[$$-409]#,##0.00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  <c:pt idx="6">
                  <c:v>0.5</c:v>
                </c:pt>
                <c:pt idx="7">
                  <c:v>0.75</c:v>
                </c:pt>
                <c:pt idx="8">
                  <c:v>1</c:v>
                </c:pt>
              </c:numCache>
            </c:numRef>
          </c:val>
        </c:ser>
        <c:ser>
          <c:idx val="2"/>
          <c:order val="2"/>
          <c:tx>
            <c:strRef>
              <c:f>SAMUELSON2!$A$16</c:f>
              <c:strCache>
                <c:ptCount val="1"/>
                <c:pt idx="0">
                  <c:v>DELTA</c:v>
                </c:pt>
              </c:strCache>
            </c:strRef>
          </c:tx>
          <c:cat>
            <c:numRef>
              <c:f>SAMUELSON2!$B$9:$J$9</c:f>
              <c:numCache>
                <c:formatCode>[$$-409]#,##0.00</c:formatCode>
                <c:ptCount val="9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</c:numCache>
            </c:numRef>
          </c:cat>
          <c:val>
            <c:numRef>
              <c:f>SAMUELSON2!$B$16:$J$16</c:f>
              <c:numCache>
                <c:formatCode>0.00</c:formatCode>
                <c:ptCount val="9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</c:numCache>
            </c:numRef>
          </c:val>
        </c:ser>
        <c:marker val="1"/>
        <c:axId val="133046656"/>
        <c:axId val="133048576"/>
      </c:lineChart>
      <c:catAx>
        <c:axId val="133046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V</a:t>
                </a:r>
              </a:p>
            </c:rich>
          </c:tx>
        </c:title>
        <c:numFmt formatCode="[$$-409]#,##0.00" sourceLinked="1"/>
        <c:tickLblPos val="nextTo"/>
        <c:crossAx val="133048576"/>
        <c:crosses val="autoZero"/>
        <c:auto val="1"/>
        <c:lblAlgn val="ctr"/>
        <c:lblOffset val="100"/>
      </c:catAx>
      <c:valAx>
        <c:axId val="133048576"/>
        <c:scaling>
          <c:orientation val="minMax"/>
        </c:scaling>
        <c:axPos val="l"/>
        <c:majorGridlines/>
        <c:numFmt formatCode="[$$-409]#,##0.00" sourceLinked="1"/>
        <c:tickLblPos val="nextTo"/>
        <c:crossAx val="13304665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ROV,</a:t>
            </a:r>
            <a:r>
              <a:rPr lang="en-US" baseline="0"/>
              <a:t> DELTA and V* AS FUNCTION OF ASSET VOLATILITY</a:t>
            </a:r>
          </a:p>
          <a:p>
            <a:pPr>
              <a:defRPr/>
            </a:pP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VOLATILITY!$A$13</c:f>
              <c:strCache>
                <c:ptCount val="1"/>
                <c:pt idx="0">
                  <c:v>V*</c:v>
                </c:pt>
              </c:strCache>
            </c:strRef>
          </c:tx>
          <c:cat>
            <c:numRef>
              <c:f>VOLATILITY!$B$7:$J$7</c:f>
              <c:numCache>
                <c:formatCode>0.0%</c:formatCode>
                <c:ptCount val="9"/>
                <c:pt idx="0">
                  <c:v>0.05</c:v>
                </c:pt>
                <c:pt idx="1">
                  <c:v>7.5000000000000011E-2</c:v>
                </c:pt>
                <c:pt idx="2">
                  <c:v>0.1</c:v>
                </c:pt>
                <c:pt idx="3">
                  <c:v>0.125</c:v>
                </c:pt>
                <c:pt idx="4">
                  <c:v>0.15</c:v>
                </c:pt>
                <c:pt idx="5">
                  <c:v>0.17499999999999999</c:v>
                </c:pt>
                <c:pt idx="6">
                  <c:v>0.19999999999999998</c:v>
                </c:pt>
                <c:pt idx="7">
                  <c:v>0.22499999999999998</c:v>
                </c:pt>
                <c:pt idx="8">
                  <c:v>0.24999999999999997</c:v>
                </c:pt>
              </c:numCache>
            </c:numRef>
          </c:cat>
          <c:val>
            <c:numRef>
              <c:f>VOLATILITY!$B$13:$J$13</c:f>
              <c:numCache>
                <c:formatCode>[$$-409]#,##0.00</c:formatCode>
                <c:ptCount val="9"/>
                <c:pt idx="0">
                  <c:v>1.1930908858062585</c:v>
                </c:pt>
                <c:pt idx="1">
                  <c:v>1.3026416924339062</c:v>
                </c:pt>
                <c:pt idx="2">
                  <c:v>1.4215351654086268</c:v>
                </c:pt>
                <c:pt idx="3">
                  <c:v>1.5502589932131432</c:v>
                </c:pt>
                <c:pt idx="4">
                  <c:v>1.6892828083149825</c:v>
                </c:pt>
                <c:pt idx="5">
                  <c:v>1.8390549607522584</c:v>
                </c:pt>
                <c:pt idx="6">
                  <c:v>2</c:v>
                </c:pt>
                <c:pt idx="7">
                  <c:v>2.1725168824763537</c:v>
                </c:pt>
                <c:pt idx="8">
                  <c:v>2.3569778810041391</c:v>
                </c:pt>
              </c:numCache>
            </c:numRef>
          </c:val>
        </c:ser>
        <c:ser>
          <c:idx val="1"/>
          <c:order val="1"/>
          <c:tx>
            <c:strRef>
              <c:f>VOLATILITY!$A$14</c:f>
              <c:strCache>
                <c:ptCount val="1"/>
                <c:pt idx="0">
                  <c:v>ROV</c:v>
                </c:pt>
              </c:strCache>
            </c:strRef>
          </c:tx>
          <c:cat>
            <c:numRef>
              <c:f>VOLATILITY!$B$7:$J$7</c:f>
              <c:numCache>
                <c:formatCode>0.0%</c:formatCode>
                <c:ptCount val="9"/>
                <c:pt idx="0">
                  <c:v>0.05</c:v>
                </c:pt>
                <c:pt idx="1">
                  <c:v>7.5000000000000011E-2</c:v>
                </c:pt>
                <c:pt idx="2">
                  <c:v>0.1</c:v>
                </c:pt>
                <c:pt idx="3">
                  <c:v>0.125</c:v>
                </c:pt>
                <c:pt idx="4">
                  <c:v>0.15</c:v>
                </c:pt>
                <c:pt idx="5">
                  <c:v>0.17499999999999999</c:v>
                </c:pt>
                <c:pt idx="6">
                  <c:v>0.19999999999999998</c:v>
                </c:pt>
                <c:pt idx="7">
                  <c:v>0.22499999999999998</c:v>
                </c:pt>
                <c:pt idx="8">
                  <c:v>0.24999999999999997</c:v>
                </c:pt>
              </c:numCache>
            </c:numRef>
          </c:cat>
          <c:val>
            <c:numRef>
              <c:f>VOLATILITY!$B$14:$J$14</c:f>
              <c:numCache>
                <c:formatCode>[$$-409]#,##0.00</c:formatCode>
                <c:ptCount val="9"/>
                <c:pt idx="0">
                  <c:v>6.4863902219186337E-2</c:v>
                </c:pt>
                <c:pt idx="1">
                  <c:v>9.6982820093864094E-2</c:v>
                </c:pt>
                <c:pt idx="2">
                  <c:v>0.12873367971648519</c:v>
                </c:pt>
                <c:pt idx="3">
                  <c:v>0.16000600060882611</c:v>
                </c:pt>
                <c:pt idx="4">
                  <c:v>0.19069894727774556</c:v>
                </c:pt>
                <c:pt idx="5">
                  <c:v>0.22072281110023048</c:v>
                </c:pt>
                <c:pt idx="6">
                  <c:v>0.25</c:v>
                </c:pt>
                <c:pt idx="7">
                  <c:v>0.27846554057978989</c:v>
                </c:pt>
                <c:pt idx="8">
                  <c:v>0.30606712889071547</c:v>
                </c:pt>
              </c:numCache>
            </c:numRef>
          </c:val>
        </c:ser>
        <c:ser>
          <c:idx val="2"/>
          <c:order val="2"/>
          <c:tx>
            <c:strRef>
              <c:f>VOLATILITY!$A$15</c:f>
              <c:strCache>
                <c:ptCount val="1"/>
                <c:pt idx="0">
                  <c:v>DELTA</c:v>
                </c:pt>
              </c:strCache>
            </c:strRef>
          </c:tx>
          <c:cat>
            <c:numRef>
              <c:f>VOLATILITY!$B$7:$J$7</c:f>
              <c:numCache>
                <c:formatCode>0.0%</c:formatCode>
                <c:ptCount val="9"/>
                <c:pt idx="0">
                  <c:v>0.05</c:v>
                </c:pt>
                <c:pt idx="1">
                  <c:v>7.5000000000000011E-2</c:v>
                </c:pt>
                <c:pt idx="2">
                  <c:v>0.1</c:v>
                </c:pt>
                <c:pt idx="3">
                  <c:v>0.125</c:v>
                </c:pt>
                <c:pt idx="4">
                  <c:v>0.15</c:v>
                </c:pt>
                <c:pt idx="5">
                  <c:v>0.17499999999999999</c:v>
                </c:pt>
                <c:pt idx="6">
                  <c:v>0.19999999999999998</c:v>
                </c:pt>
                <c:pt idx="7">
                  <c:v>0.22499999999999998</c:v>
                </c:pt>
                <c:pt idx="8">
                  <c:v>0.24999999999999997</c:v>
                </c:pt>
              </c:numCache>
            </c:numRef>
          </c:cat>
          <c:val>
            <c:numRef>
              <c:f>VOLATILITY!$B$15:$J$15</c:f>
              <c:numCache>
                <c:formatCode>0.00</c:formatCode>
                <c:ptCount val="9"/>
                <c:pt idx="0">
                  <c:v>0.40078810676330334</c:v>
                </c:pt>
                <c:pt idx="1">
                  <c:v>0.41743708174535205</c:v>
                </c:pt>
                <c:pt idx="2">
                  <c:v>0.43412618378359819</c:v>
                </c:pt>
                <c:pt idx="3">
                  <c:v>0.45078907291174003</c:v>
                </c:pt>
                <c:pt idx="4">
                  <c:v>0.46736179883489865</c:v>
                </c:pt>
                <c:pt idx="5">
                  <c:v>0.48378401855956116</c:v>
                </c:pt>
                <c:pt idx="6">
                  <c:v>0.5</c:v>
                </c:pt>
                <c:pt idx="7">
                  <c:v>0.51595938373168659</c:v>
                </c:pt>
                <c:pt idx="8">
                  <c:v>0.53161769472914411</c:v>
                </c:pt>
              </c:numCache>
            </c:numRef>
          </c:val>
        </c:ser>
        <c:marker val="1"/>
        <c:axId val="133713920"/>
        <c:axId val="133715840"/>
      </c:lineChart>
      <c:catAx>
        <c:axId val="133713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ASSET</a:t>
                </a:r>
                <a:r>
                  <a:rPr lang="en-US" baseline="0"/>
                  <a:t> VOLATILITY</a:t>
                </a:r>
                <a:endParaRPr lang="en-US"/>
              </a:p>
            </c:rich>
          </c:tx>
        </c:title>
        <c:numFmt formatCode="0.0%" sourceLinked="1"/>
        <c:tickLblPos val="nextTo"/>
        <c:crossAx val="133715840"/>
        <c:crosses val="autoZero"/>
        <c:auto val="1"/>
        <c:lblAlgn val="ctr"/>
        <c:lblOffset val="100"/>
      </c:catAx>
      <c:valAx>
        <c:axId val="133715840"/>
        <c:scaling>
          <c:orientation val="minMax"/>
        </c:scaling>
        <c:axPos val="l"/>
        <c:majorGridlines/>
        <c:numFmt formatCode="[$$-409]#,##0.00" sourceLinked="1"/>
        <c:tickLblPos val="nextTo"/>
        <c:crossAx val="13371392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REAL OPTION VALUE, DELTA &amp; GAMMA
 as Function of Interest Rates</a:t>
            </a:r>
          </a:p>
        </c:rich>
      </c:tx>
      <c:layout>
        <c:manualLayout>
          <c:xMode val="edge"/>
          <c:yMode val="edge"/>
          <c:x val="0.25987841945289092"/>
          <c:y val="3.131991051454149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8389108500181442E-2"/>
          <c:y val="0.21029128716462236"/>
          <c:w val="0.75683946740201358"/>
          <c:h val="0.6442967096107507"/>
        </c:manualLayout>
      </c:layout>
      <c:lineChart>
        <c:grouping val="standard"/>
        <c:ser>
          <c:idx val="0"/>
          <c:order val="0"/>
          <c:tx>
            <c:strRef>
              <c:f>'[3]DELTA, GAMMA'!$A$24</c:f>
              <c:strCache>
                <c:ptCount val="1"/>
                <c:pt idx="0">
                  <c:v>ROV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'[3]DELTA, GAMMA'!$B$8:$J$8</c:f>
              <c:numCache>
                <c:formatCode>General</c:formatCode>
                <c:ptCount val="9"/>
                <c:pt idx="0">
                  <c:v>0.02</c:v>
                </c:pt>
                <c:pt idx="1">
                  <c:v>2.5000000000000001E-2</c:v>
                </c:pt>
                <c:pt idx="2">
                  <c:v>3.0000000000000002E-2</c:v>
                </c:pt>
                <c:pt idx="3">
                  <c:v>3.5000000000000003E-2</c:v>
                </c:pt>
                <c:pt idx="4">
                  <c:v>0.04</c:v>
                </c:pt>
                <c:pt idx="5">
                  <c:v>4.4999999999999998E-2</c:v>
                </c:pt>
                <c:pt idx="6">
                  <c:v>4.9999999999999996E-2</c:v>
                </c:pt>
                <c:pt idx="7">
                  <c:v>5.4999999999999993E-2</c:v>
                </c:pt>
                <c:pt idx="8">
                  <c:v>5.9999999999999991E-2</c:v>
                </c:pt>
              </c:numCache>
            </c:numRef>
          </c:cat>
          <c:val>
            <c:numRef>
              <c:f>'[3]DELTA, GAMMA'!$B$24:$J$24</c:f>
              <c:numCache>
                <c:formatCode>General</c:formatCode>
                <c:ptCount val="9"/>
                <c:pt idx="0">
                  <c:v>0.19442768285708267</c:v>
                </c:pt>
                <c:pt idx="1">
                  <c:v>0.2077116735186976</c:v>
                </c:pt>
                <c:pt idx="2">
                  <c:v>0.22148883734991726</c:v>
                </c:pt>
                <c:pt idx="3">
                  <c:v>0.23562979124734945</c:v>
                </c:pt>
                <c:pt idx="4">
                  <c:v>0.25000000000000006</c:v>
                </c:pt>
                <c:pt idx="5">
                  <c:v>0.26446883388207576</c:v>
                </c:pt>
                <c:pt idx="6">
                  <c:v>0.27891679653772417</c:v>
                </c:pt>
                <c:pt idx="7">
                  <c:v>0.29324023055242654</c:v>
                </c:pt>
                <c:pt idx="8">
                  <c:v>0.30735350239315212</c:v>
                </c:pt>
              </c:numCache>
            </c:numRef>
          </c:val>
        </c:ser>
        <c:ser>
          <c:idx val="1"/>
          <c:order val="1"/>
          <c:tx>
            <c:strRef>
              <c:f>'[3]DELTA, GAMMA'!$A$25</c:f>
              <c:strCache>
                <c:ptCount val="1"/>
                <c:pt idx="0">
                  <c:v>ROV D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'[3]DELTA, GAMMA'!$B$8:$J$8</c:f>
              <c:numCache>
                <c:formatCode>General</c:formatCode>
                <c:ptCount val="9"/>
                <c:pt idx="0">
                  <c:v>0.02</c:v>
                </c:pt>
                <c:pt idx="1">
                  <c:v>2.5000000000000001E-2</c:v>
                </c:pt>
                <c:pt idx="2">
                  <c:v>3.0000000000000002E-2</c:v>
                </c:pt>
                <c:pt idx="3">
                  <c:v>3.5000000000000003E-2</c:v>
                </c:pt>
                <c:pt idx="4">
                  <c:v>0.04</c:v>
                </c:pt>
                <c:pt idx="5">
                  <c:v>4.4999999999999998E-2</c:v>
                </c:pt>
                <c:pt idx="6">
                  <c:v>4.9999999999999996E-2</c:v>
                </c:pt>
                <c:pt idx="7">
                  <c:v>5.4999999999999993E-2</c:v>
                </c:pt>
                <c:pt idx="8">
                  <c:v>5.9999999999999991E-2</c:v>
                </c:pt>
              </c:numCache>
            </c:numRef>
          </c:cat>
          <c:val>
            <c:numRef>
              <c:f>'[3]DELTA, GAMMA'!$B$25:$J$25</c:f>
              <c:numCache>
                <c:formatCode>General</c:formatCode>
                <c:ptCount val="9"/>
                <c:pt idx="0">
                  <c:v>0.46938994885434387</c:v>
                </c:pt>
                <c:pt idx="1">
                  <c:v>0.47664160339522865</c:v>
                </c:pt>
                <c:pt idx="2">
                  <c:v>0.48420575342880573</c:v>
                </c:pt>
                <c:pt idx="3">
                  <c:v>0.49201561910156022</c:v>
                </c:pt>
                <c:pt idx="4">
                  <c:v>0.5</c:v>
                </c:pt>
                <c:pt idx="5">
                  <c:v>0.5080881639981768</c:v>
                </c:pt>
                <c:pt idx="6">
                  <c:v>0.51621392416888801</c:v>
                </c:pt>
                <c:pt idx="7">
                  <c:v>0.52431846950067373</c:v>
                </c:pt>
                <c:pt idx="8">
                  <c:v>0.53235188202918193</c:v>
                </c:pt>
              </c:numCache>
            </c:numRef>
          </c:val>
        </c:ser>
        <c:ser>
          <c:idx val="2"/>
          <c:order val="2"/>
          <c:tx>
            <c:strRef>
              <c:f>'[3]DELTA, GAMMA'!$A$26</c:f>
              <c:strCache>
                <c:ptCount val="1"/>
                <c:pt idx="0">
                  <c:v>ROV G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'[3]DELTA, GAMMA'!$B$8:$J$8</c:f>
              <c:numCache>
                <c:formatCode>General</c:formatCode>
                <c:ptCount val="9"/>
                <c:pt idx="0">
                  <c:v>0.02</c:v>
                </c:pt>
                <c:pt idx="1">
                  <c:v>2.5000000000000001E-2</c:v>
                </c:pt>
                <c:pt idx="2">
                  <c:v>3.0000000000000002E-2</c:v>
                </c:pt>
                <c:pt idx="3">
                  <c:v>3.5000000000000003E-2</c:v>
                </c:pt>
                <c:pt idx="4">
                  <c:v>0.04</c:v>
                </c:pt>
                <c:pt idx="5">
                  <c:v>4.4999999999999998E-2</c:v>
                </c:pt>
                <c:pt idx="6">
                  <c:v>4.9999999999999996E-2</c:v>
                </c:pt>
                <c:pt idx="7">
                  <c:v>5.4999999999999993E-2</c:v>
                </c:pt>
                <c:pt idx="8">
                  <c:v>5.9999999999999991E-2</c:v>
                </c:pt>
              </c:numCache>
            </c:numRef>
          </c:cat>
          <c:val>
            <c:numRef>
              <c:f>'[3]DELTA, GAMMA'!$B$26:$J$26</c:f>
              <c:numCache>
                <c:formatCode>General</c:formatCode>
                <c:ptCount val="9"/>
                <c:pt idx="0">
                  <c:v>0.66381763171142649</c:v>
                </c:pt>
                <c:pt idx="1">
                  <c:v>0.61712079444479317</c:v>
                </c:pt>
                <c:pt idx="2">
                  <c:v>0.57433613273927842</c:v>
                </c:pt>
                <c:pt idx="3">
                  <c:v>0.53535603945825139</c:v>
                </c:pt>
                <c:pt idx="4">
                  <c:v>0.49999999999999989</c:v>
                </c:pt>
                <c:pt idx="5">
                  <c:v>0.46803283523512618</c:v>
                </c:pt>
                <c:pt idx="6">
                  <c:v>0.4391850292598663</c:v>
                </c:pt>
                <c:pt idx="7">
                  <c:v>0.41317178189366754</c:v>
                </c:pt>
                <c:pt idx="8">
                  <c:v>0.38970862515027427</c:v>
                </c:pt>
              </c:numCache>
            </c:numRef>
          </c:val>
        </c:ser>
        <c:marker val="1"/>
        <c:axId val="133857664"/>
        <c:axId val="133859968"/>
      </c:lineChart>
      <c:catAx>
        <c:axId val="1338576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Interest Rate</a:t>
                </a:r>
              </a:p>
            </c:rich>
          </c:tx>
          <c:layout>
            <c:manualLayout>
              <c:xMode val="edge"/>
              <c:yMode val="edge"/>
              <c:x val="0.38297904251330284"/>
              <c:y val="0.914990928147404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859968"/>
        <c:crosses val="autoZero"/>
        <c:auto val="1"/>
        <c:lblAlgn val="ctr"/>
        <c:lblOffset val="100"/>
        <c:tickLblSkip val="1"/>
        <c:tickMarkSkip val="1"/>
      </c:catAx>
      <c:valAx>
        <c:axId val="1338599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85766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474227955548999"/>
          <c:y val="0.46085105133670368"/>
          <c:w val="0.12310046350589154"/>
          <c:h val="0.1431769686507306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55" r="0.75000000000000455" t="1" header="0.5" footer="0.5"/>
    <c:pageSetup paperSize="9" orientation="landscape" horizontalDpi="1200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TOURINHO</a:t>
            </a:r>
            <a:r>
              <a:rPr lang="en-US" baseline="0"/>
              <a:t> ROV as Function of V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'TOURINHO I'!$A$15</c:f>
              <c:strCache>
                <c:ptCount val="1"/>
                <c:pt idx="0">
                  <c:v>C(V)</c:v>
                </c:pt>
              </c:strCache>
            </c:strRef>
          </c:tx>
          <c:cat>
            <c:numRef>
              <c:f>'TOURINHO I'!$B$3:$K$3</c:f>
              <c:numCache>
                <c:formatCode>General</c:formatCode>
                <c:ptCount val="10"/>
                <c:pt idx="0">
                  <c:v>18</c:v>
                </c:pt>
                <c:pt idx="1">
                  <c:v>18.5</c:v>
                </c:pt>
                <c:pt idx="2">
                  <c:v>19</c:v>
                </c:pt>
                <c:pt idx="3">
                  <c:v>19.5</c:v>
                </c:pt>
                <c:pt idx="4">
                  <c:v>20</c:v>
                </c:pt>
                <c:pt idx="5">
                  <c:v>20.5</c:v>
                </c:pt>
                <c:pt idx="6">
                  <c:v>21</c:v>
                </c:pt>
                <c:pt idx="7">
                  <c:v>21.5</c:v>
                </c:pt>
                <c:pt idx="8">
                  <c:v>22</c:v>
                </c:pt>
                <c:pt idx="9">
                  <c:v>22.5</c:v>
                </c:pt>
              </c:numCache>
            </c:numRef>
          </c:cat>
          <c:val>
            <c:numRef>
              <c:f>'TOURINHO I'!$B$15:$K$15</c:f>
              <c:numCache>
                <c:formatCode>0.000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3.5665593654670147E-2</c:v>
                </c:pt>
                <c:pt idx="3">
                  <c:v>0.17769285284509095</c:v>
                </c:pt>
                <c:pt idx="4">
                  <c:v>0.41121613295156578</c:v>
                </c:pt>
                <c:pt idx="5">
                  <c:v>0.72136409231438847</c:v>
                </c:pt>
                <c:pt idx="6">
                  <c:v>1.0959646642205527</c:v>
                </c:pt>
                <c:pt idx="7">
                  <c:v>1.5250061889334887</c:v>
                </c:pt>
                <c:pt idx="8">
                  <c:v>2.0002154631673577</c:v>
                </c:pt>
                <c:pt idx="9">
                  <c:v>2.5</c:v>
                </c:pt>
              </c:numCache>
            </c:numRef>
          </c:val>
        </c:ser>
        <c:ser>
          <c:idx val="1"/>
          <c:order val="1"/>
          <c:tx>
            <c:strRef>
              <c:f>'TOURINHO I'!$A$16</c:f>
              <c:strCache>
                <c:ptCount val="1"/>
                <c:pt idx="0">
                  <c:v>MAX(V-X,0)</c:v>
                </c:pt>
              </c:strCache>
            </c:strRef>
          </c:tx>
          <c:cat>
            <c:numRef>
              <c:f>'TOURINHO I'!$B$3:$K$3</c:f>
              <c:numCache>
                <c:formatCode>General</c:formatCode>
                <c:ptCount val="10"/>
                <c:pt idx="0">
                  <c:v>18</c:v>
                </c:pt>
                <c:pt idx="1">
                  <c:v>18.5</c:v>
                </c:pt>
                <c:pt idx="2">
                  <c:v>19</c:v>
                </c:pt>
                <c:pt idx="3">
                  <c:v>19.5</c:v>
                </c:pt>
                <c:pt idx="4">
                  <c:v>20</c:v>
                </c:pt>
                <c:pt idx="5">
                  <c:v>20.5</c:v>
                </c:pt>
                <c:pt idx="6">
                  <c:v>21</c:v>
                </c:pt>
                <c:pt idx="7">
                  <c:v>21.5</c:v>
                </c:pt>
                <c:pt idx="8">
                  <c:v>22</c:v>
                </c:pt>
                <c:pt idx="9">
                  <c:v>22.5</c:v>
                </c:pt>
              </c:numCache>
            </c:numRef>
          </c:cat>
          <c:val>
            <c:numRef>
              <c:f>'TOURINHO I'!$B$16:$K$16</c:f>
              <c:numCache>
                <c:formatCode>0.000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1</c:v>
                </c:pt>
                <c:pt idx="7">
                  <c:v>1.5</c:v>
                </c:pt>
                <c:pt idx="8">
                  <c:v>2</c:v>
                </c:pt>
                <c:pt idx="9">
                  <c:v>2.5</c:v>
                </c:pt>
              </c:numCache>
            </c:numRef>
          </c:val>
        </c:ser>
        <c:marker val="1"/>
        <c:axId val="133937792"/>
        <c:axId val="133944064"/>
      </c:lineChart>
      <c:catAx>
        <c:axId val="133937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/>
                  <a:t>V</a:t>
                </a:r>
              </a:p>
            </c:rich>
          </c:tx>
        </c:title>
        <c:numFmt formatCode="General" sourceLinked="1"/>
        <c:tickLblPos val="nextTo"/>
        <c:crossAx val="133944064"/>
        <c:crosses val="autoZero"/>
        <c:auto val="1"/>
        <c:lblAlgn val="ctr"/>
        <c:lblOffset val="100"/>
      </c:catAx>
      <c:valAx>
        <c:axId val="133944064"/>
        <c:scaling>
          <c:orientation val="minMax"/>
        </c:scaling>
        <c:axPos val="l"/>
        <c:majorGridlines/>
        <c:numFmt formatCode="0.000" sourceLinked="1"/>
        <c:tickLblPos val="nextTo"/>
        <c:crossAx val="13393779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Thresholds</a:t>
            </a:r>
            <a:r>
              <a:rPr lang="en-US" baseline="0"/>
              <a:t> as function of Holding Costs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'TOURINHO THRESHOLD'!$A$13</c:f>
              <c:strCache>
                <c:ptCount val="1"/>
                <c:pt idx="0">
                  <c:v>V*</c:v>
                </c:pt>
              </c:strCache>
            </c:strRef>
          </c:tx>
          <c:cat>
            <c:numRef>
              <c:f>'TOURINHO THRESHOLD'!$B$7:$M$7</c:f>
              <c:numCache>
                <c:formatCode>General</c:formatCode>
                <c:ptCount val="12"/>
                <c:pt idx="0">
                  <c:v>3.5</c:v>
                </c:pt>
                <c:pt idx="1">
                  <c:v>4</c:v>
                </c:pt>
                <c:pt idx="2">
                  <c:v>4.5</c:v>
                </c:pt>
                <c:pt idx="3">
                  <c:v>5</c:v>
                </c:pt>
                <c:pt idx="4">
                  <c:v>5.5</c:v>
                </c:pt>
                <c:pt idx="5">
                  <c:v>6</c:v>
                </c:pt>
                <c:pt idx="6">
                  <c:v>6.5</c:v>
                </c:pt>
                <c:pt idx="7">
                  <c:v>7</c:v>
                </c:pt>
                <c:pt idx="8">
                  <c:v>7.5</c:v>
                </c:pt>
                <c:pt idx="9">
                  <c:v>8</c:v>
                </c:pt>
                <c:pt idx="10">
                  <c:v>8.5</c:v>
                </c:pt>
                <c:pt idx="11">
                  <c:v>9</c:v>
                </c:pt>
              </c:numCache>
            </c:numRef>
          </c:cat>
          <c:val>
            <c:numRef>
              <c:f>'TOURINHO THRESHOLD'!$B$13:$M$13</c:f>
              <c:numCache>
                <c:formatCode>0.00</c:formatCode>
                <c:ptCount val="12"/>
                <c:pt idx="0">
                  <c:v>22.052713199148773</c:v>
                </c:pt>
                <c:pt idx="1">
                  <c:v>21.623278499901168</c:v>
                </c:pt>
                <c:pt idx="2">
                  <c:v>21.34464590949522</c:v>
                </c:pt>
                <c:pt idx="3">
                  <c:v>21.148597635345418</c:v>
                </c:pt>
                <c:pt idx="4">
                  <c:v>21.002902610228048</c:v>
                </c:pt>
                <c:pt idx="5">
                  <c:v>20.890255226551581</c:v>
                </c:pt>
                <c:pt idx="6">
                  <c:v>20.800499969552252</c:v>
                </c:pt>
                <c:pt idx="7">
                  <c:v>20.727271917295678</c:v>
                </c:pt>
                <c:pt idx="8">
                  <c:v>20.666373717609375</c:v>
                </c:pt>
                <c:pt idx="9">
                  <c:v>20.614922736587484</c:v>
                </c:pt>
                <c:pt idx="10">
                  <c:v>20.570872406726998</c:v>
                </c:pt>
                <c:pt idx="11">
                  <c:v>20.532728926462692</c:v>
                </c:pt>
              </c:numCache>
            </c:numRef>
          </c:val>
        </c:ser>
        <c:ser>
          <c:idx val="1"/>
          <c:order val="1"/>
          <c:tx>
            <c:strRef>
              <c:f>'TOURINHO THRESHOLD'!$A$14</c:f>
              <c:strCache>
                <c:ptCount val="1"/>
                <c:pt idx="0">
                  <c:v>Z</c:v>
                </c:pt>
              </c:strCache>
            </c:strRef>
          </c:tx>
          <c:cat>
            <c:numRef>
              <c:f>'TOURINHO THRESHOLD'!$B$7:$M$7</c:f>
              <c:numCache>
                <c:formatCode>General</c:formatCode>
                <c:ptCount val="12"/>
                <c:pt idx="0">
                  <c:v>3.5</c:v>
                </c:pt>
                <c:pt idx="1">
                  <c:v>4</c:v>
                </c:pt>
                <c:pt idx="2">
                  <c:v>4.5</c:v>
                </c:pt>
                <c:pt idx="3">
                  <c:v>5</c:v>
                </c:pt>
                <c:pt idx="4">
                  <c:v>5.5</c:v>
                </c:pt>
                <c:pt idx="5">
                  <c:v>6</c:v>
                </c:pt>
                <c:pt idx="6">
                  <c:v>6.5</c:v>
                </c:pt>
                <c:pt idx="7">
                  <c:v>7</c:v>
                </c:pt>
                <c:pt idx="8">
                  <c:v>7.5</c:v>
                </c:pt>
                <c:pt idx="9">
                  <c:v>8</c:v>
                </c:pt>
                <c:pt idx="10">
                  <c:v>8.5</c:v>
                </c:pt>
                <c:pt idx="11">
                  <c:v>9</c:v>
                </c:pt>
              </c:numCache>
            </c:numRef>
          </c:cat>
          <c:val>
            <c:numRef>
              <c:f>'TOURINHO THRESHOLD'!$B$14:$M$14</c:f>
              <c:numCache>
                <c:formatCode>0.00</c:formatCode>
                <c:ptCount val="12"/>
                <c:pt idx="0">
                  <c:v>18.615155668615287</c:v>
                </c:pt>
                <c:pt idx="1">
                  <c:v>18.82415727839793</c:v>
                </c:pt>
                <c:pt idx="2">
                  <c:v>18.977301330579163</c:v>
                </c:pt>
                <c:pt idx="3">
                  <c:v>19.094655380480813</c:v>
                </c:pt>
                <c:pt idx="4">
                  <c:v>19.187588216856657</c:v>
                </c:pt>
                <c:pt idx="5">
                  <c:v>19.263069617275733</c:v>
                </c:pt>
                <c:pt idx="6">
                  <c:v>19.325627549320654</c:v>
                </c:pt>
                <c:pt idx="7">
                  <c:v>19.37833849381374</c:v>
                </c:pt>
                <c:pt idx="8">
                  <c:v>19.423369133958843</c:v>
                </c:pt>
                <c:pt idx="9">
                  <c:v>19.462291101921565</c:v>
                </c:pt>
                <c:pt idx="10">
                  <c:v>19.496272960128636</c:v>
                </c:pt>
                <c:pt idx="11">
                  <c:v>19.526202086923934</c:v>
                </c:pt>
              </c:numCache>
            </c:numRef>
          </c:val>
        </c:ser>
        <c:marker val="1"/>
        <c:axId val="133948928"/>
        <c:axId val="133950848"/>
      </c:lineChart>
      <c:catAx>
        <c:axId val="133948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Holding</a:t>
                </a:r>
                <a:r>
                  <a:rPr lang="en-US" baseline="0"/>
                  <a:t> Cost</a:t>
                </a:r>
                <a:endParaRPr lang="en-US"/>
              </a:p>
            </c:rich>
          </c:tx>
        </c:title>
        <c:numFmt formatCode="General" sourceLinked="1"/>
        <c:tickLblPos val="nextTo"/>
        <c:crossAx val="133950848"/>
        <c:crosses val="autoZero"/>
        <c:auto val="1"/>
        <c:lblAlgn val="ctr"/>
        <c:lblOffset val="100"/>
      </c:catAx>
      <c:valAx>
        <c:axId val="133950848"/>
        <c:scaling>
          <c:orientation val="minMax"/>
          <c:max val="22.5"/>
          <c:min val="18"/>
        </c:scaling>
        <c:axPos val="l"/>
        <c:majorGridlines/>
        <c:numFmt formatCode="0.00" sourceLinked="1"/>
        <c:tickLblPos val="nextTo"/>
        <c:crossAx val="13394892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American Multi-factor Perpetual Real Option as function of Q </a:t>
            </a:r>
          </a:p>
        </c:rich>
      </c:tx>
      <c:layout>
        <c:manualLayout>
          <c:xMode val="edge"/>
          <c:yMode val="edge"/>
          <c:x val="0.12723214285714451"/>
          <c:y val="3.34190231362467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607155507938396"/>
          <c:y val="0.2287917737789204"/>
          <c:w val="0.66294715112648794"/>
          <c:h val="0.6478149100257119"/>
        </c:manualLayout>
      </c:layout>
      <c:lineChart>
        <c:grouping val="standard"/>
        <c:ser>
          <c:idx val="0"/>
          <c:order val="0"/>
          <c:tx>
            <c:strRef>
              <c:f>[3]AM_PERP_MF_Q!$A$16</c:f>
              <c:strCache>
                <c:ptCount val="1"/>
                <c:pt idx="0">
                  <c:v>P(P,Q)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[3]AM_PERP_MF_Q!$B$4:$G$4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[3]AM_PERP_MF_Q!$B$16:$G$16</c:f>
              <c:numCache>
                <c:formatCode>General</c:formatCode>
                <c:ptCount val="6"/>
                <c:pt idx="0">
                  <c:v>0</c:v>
                </c:pt>
                <c:pt idx="1">
                  <c:v>6.25</c:v>
                </c:pt>
                <c:pt idx="2">
                  <c:v>25</c:v>
                </c:pt>
                <c:pt idx="3">
                  <c:v>56.250000000000021</c:v>
                </c:pt>
                <c:pt idx="4">
                  <c:v>100.00000000000003</c:v>
                </c:pt>
                <c:pt idx="5">
                  <c:v>150.00000000000003</c:v>
                </c:pt>
              </c:numCache>
            </c:numRef>
          </c:val>
        </c:ser>
        <c:ser>
          <c:idx val="1"/>
          <c:order val="1"/>
          <c:tx>
            <c:strRef>
              <c:f>[3]AM_PERP_MF_Q!$A$17</c:f>
              <c:strCache>
                <c:ptCount val="1"/>
                <c:pt idx="0">
                  <c:v>V-K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[3]AM_PERP_MF_Q!$B$4:$G$4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[3]AM_PERP_MF_Q!$B$17:$G$17</c:f>
              <c:numCache>
                <c:formatCode>General</c:formatCode>
                <c:ptCount val="6"/>
                <c:pt idx="0">
                  <c:v>-100</c:v>
                </c:pt>
                <c:pt idx="1">
                  <c:v>-49.999999999999993</c:v>
                </c:pt>
                <c:pt idx="2">
                  <c:v>0</c:v>
                </c:pt>
                <c:pt idx="3">
                  <c:v>50.000000000000028</c:v>
                </c:pt>
                <c:pt idx="4">
                  <c:v>100.00000000000003</c:v>
                </c:pt>
                <c:pt idx="5">
                  <c:v>150.00000000000003</c:v>
                </c:pt>
              </c:numCache>
            </c:numRef>
          </c:val>
        </c:ser>
        <c:marker val="1"/>
        <c:axId val="134132864"/>
        <c:axId val="134135168"/>
      </c:lineChart>
      <c:catAx>
        <c:axId val="134132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Q (Volume)</a:t>
                </a:r>
              </a:p>
            </c:rich>
          </c:tx>
          <c:layout>
            <c:manualLayout>
              <c:xMode val="edge"/>
              <c:yMode val="edge"/>
              <c:x val="0.37276832583427488"/>
              <c:y val="0.904884318766066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135168"/>
        <c:crosses val="autoZero"/>
        <c:auto val="1"/>
        <c:lblAlgn val="ctr"/>
        <c:lblOffset val="100"/>
        <c:tickLblSkip val="1"/>
        <c:tickMarkSkip val="1"/>
      </c:catAx>
      <c:valAx>
        <c:axId val="134135168"/>
        <c:scaling>
          <c:orientation val="minMax"/>
          <c:max val="150"/>
          <c:min val="-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13286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73308023996949"/>
          <c:y val="0.50128534704370176"/>
          <c:w val="0.16741094863142325"/>
          <c:h val="0.105398457583547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55" r="0.7500000000000045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American Multi-factor Real Option and Optimal X* 
as function of P &amp; Q Correlation</a:t>
            </a:r>
          </a:p>
        </c:rich>
      </c:tx>
      <c:layout>
        <c:manualLayout>
          <c:xMode val="edge"/>
          <c:yMode val="edge"/>
          <c:x val="0.14173228346456843"/>
          <c:y val="3.34346504559270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7165354330708813E-2"/>
          <c:y val="0.29483282674772038"/>
          <c:w val="0.7070866141732286"/>
          <c:h val="0.46200607902735852"/>
        </c:manualLayout>
      </c:layout>
      <c:lineChart>
        <c:grouping val="standard"/>
        <c:ser>
          <c:idx val="0"/>
          <c:order val="0"/>
          <c:tx>
            <c:strRef>
              <c:f>[3]AM_PERP_MF_CORR!$A$20</c:f>
              <c:strCache>
                <c:ptCount val="1"/>
                <c:pt idx="0">
                  <c:v>X*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[3]AM_PERP_MF_CORR!$B$9:$J$9</c:f>
              <c:numCache>
                <c:formatCode>General</c:formatCode>
                <c:ptCount val="9"/>
                <c:pt idx="0">
                  <c:v>-0.8</c:v>
                </c:pt>
                <c:pt idx="1">
                  <c:v>-0.70000000000000007</c:v>
                </c:pt>
                <c:pt idx="2">
                  <c:v>-0.60000000000000009</c:v>
                </c:pt>
                <c:pt idx="3">
                  <c:v>-0.50000000000000011</c:v>
                </c:pt>
                <c:pt idx="4">
                  <c:v>-0.40000000000000013</c:v>
                </c:pt>
                <c:pt idx="5">
                  <c:v>-0.30000000000000016</c:v>
                </c:pt>
                <c:pt idx="6">
                  <c:v>-0.20000000000000015</c:v>
                </c:pt>
                <c:pt idx="7">
                  <c:v>-0.10000000000000014</c:v>
                </c:pt>
                <c:pt idx="8">
                  <c:v>-1.3877787807814457E-16</c:v>
                </c:pt>
              </c:numCache>
            </c:numRef>
          </c:cat>
          <c:val>
            <c:numRef>
              <c:f>[3]AM_PERP_MF_CORR!$B$20:$J$20</c:f>
              <c:numCache>
                <c:formatCode>General</c:formatCode>
                <c:ptCount val="9"/>
                <c:pt idx="0">
                  <c:v>2.8164965809277254</c:v>
                </c:pt>
                <c:pt idx="1">
                  <c:v>3.2419912536082358</c:v>
                </c:pt>
                <c:pt idx="2">
                  <c:v>3.7266499161421587</c:v>
                </c:pt>
                <c:pt idx="3">
                  <c:v>4.2996598285221177</c:v>
                </c:pt>
                <c:pt idx="4">
                  <c:v>4.9999999999999973</c:v>
                </c:pt>
                <c:pt idx="5">
                  <c:v>5.3080311495716206</c:v>
                </c:pt>
                <c:pt idx="6">
                  <c:v>6.2248822315723826</c:v>
                </c:pt>
                <c:pt idx="7">
                  <c:v>7.4369028117247638</c:v>
                </c:pt>
                <c:pt idx="8">
                  <c:v>9.1231056256176526</c:v>
                </c:pt>
              </c:numCache>
            </c:numRef>
          </c:val>
        </c:ser>
        <c:ser>
          <c:idx val="1"/>
          <c:order val="1"/>
          <c:tx>
            <c:strRef>
              <c:f>[3]AM_PERP_MF_CORR!$A$21</c:f>
              <c:strCache>
                <c:ptCount val="1"/>
                <c:pt idx="0">
                  <c:v>P(P,Q)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[3]AM_PERP_MF_CORR!$B$9:$J$9</c:f>
              <c:numCache>
                <c:formatCode>General</c:formatCode>
                <c:ptCount val="9"/>
                <c:pt idx="0">
                  <c:v>-0.8</c:v>
                </c:pt>
                <c:pt idx="1">
                  <c:v>-0.70000000000000007</c:v>
                </c:pt>
                <c:pt idx="2">
                  <c:v>-0.60000000000000009</c:v>
                </c:pt>
                <c:pt idx="3">
                  <c:v>-0.50000000000000011</c:v>
                </c:pt>
                <c:pt idx="4">
                  <c:v>-0.40000000000000013</c:v>
                </c:pt>
                <c:pt idx="5">
                  <c:v>-0.30000000000000016</c:v>
                </c:pt>
                <c:pt idx="6">
                  <c:v>-0.20000000000000015</c:v>
                </c:pt>
                <c:pt idx="7">
                  <c:v>-0.10000000000000014</c:v>
                </c:pt>
                <c:pt idx="8">
                  <c:v>-1.3877787807814457E-16</c:v>
                </c:pt>
              </c:numCache>
            </c:numRef>
          </c:cat>
          <c:val>
            <c:numRef>
              <c:f>[3]AM_PERP_MF_CORR!$B$21:$J$21</c:f>
              <c:numCache>
                <c:formatCode>General</c:formatCode>
                <c:ptCount val="9"/>
                <c:pt idx="0">
                  <c:v>1.147247194506311</c:v>
                </c:pt>
                <c:pt idx="1">
                  <c:v>2.8820901599640134</c:v>
                </c:pt>
                <c:pt idx="2">
                  <c:v>5.0476622451930249</c:v>
                </c:pt>
                <c:pt idx="3">
                  <c:v>7.5215226860275299</c:v>
                </c:pt>
                <c:pt idx="4">
                  <c:v>10.259855680060182</c:v>
                </c:pt>
                <c:pt idx="5">
                  <c:v>11.358452574243572</c:v>
                </c:pt>
                <c:pt idx="6">
                  <c:v>14.279826396707605</c:v>
                </c:pt>
                <c:pt idx="7">
                  <c:v>17.473593336331252</c:v>
                </c:pt>
                <c:pt idx="8">
                  <c:v>20.985110859228278</c:v>
                </c:pt>
              </c:numCache>
            </c:numRef>
          </c:val>
        </c:ser>
        <c:marker val="1"/>
        <c:axId val="134291456"/>
        <c:axId val="134293760"/>
      </c:lineChart>
      <c:catAx>
        <c:axId val="1342914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 &amp; Q Correlation</a:t>
                </a:r>
              </a:p>
            </c:rich>
          </c:tx>
          <c:layout>
            <c:manualLayout>
              <c:xMode val="edge"/>
              <c:yMode val="edge"/>
              <c:x val="0.32125984251968531"/>
              <c:y val="0.8662613981762917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293760"/>
        <c:crosses val="autoZero"/>
        <c:auto val="1"/>
        <c:lblAlgn val="ctr"/>
        <c:lblOffset val="100"/>
        <c:tickLblSkip val="1"/>
        <c:tickMarkSkip val="1"/>
      </c:catAx>
      <c:valAx>
        <c:axId val="1342937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29145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409448818898214"/>
          <c:y val="0.45288753799392345"/>
          <c:w val="0.14330708661417324"/>
          <c:h val="0.1489361702127673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55" r="0.75000000000000455" t="1" header="0.5" footer="0.5"/>
    <c:pageSetup paperSize="9" orientation="landscape" horizontalDpi="1200" verticalDpi="12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ROV and Z* 
as function of V &amp; K Correlation</a:t>
            </a:r>
          </a:p>
        </c:rich>
      </c:tx>
      <c:layout>
        <c:manualLayout>
          <c:xMode val="edge"/>
          <c:yMode val="edge"/>
          <c:x val="0.19937205651491366"/>
          <c:y val="3.06603773584906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3783416055037951E-2"/>
          <c:y val="0.29717015354390108"/>
          <c:w val="0.68916850315236322"/>
          <c:h val="0.45990619000841831"/>
        </c:manualLayout>
      </c:layout>
      <c:lineChart>
        <c:grouping val="standard"/>
        <c:ser>
          <c:idx val="0"/>
          <c:order val="0"/>
          <c:tx>
            <c:strRef>
              <c:f>[3]AM_PERP_EXCH_CORR!$A$11</c:f>
              <c:strCache>
                <c:ptCount val="1"/>
                <c:pt idx="0">
                  <c:v>Z*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[3]AM_PERP_EXCH_CORR!$B$9:$J$9</c:f>
              <c:numCache>
                <c:formatCode>General</c:formatCode>
                <c:ptCount val="9"/>
                <c:pt idx="0">
                  <c:v>-1</c:v>
                </c:pt>
                <c:pt idx="1">
                  <c:v>-0.75</c:v>
                </c:pt>
                <c:pt idx="2">
                  <c:v>-0.5</c:v>
                </c:pt>
                <c:pt idx="3">
                  <c:v>-0.25</c:v>
                </c:pt>
                <c:pt idx="4">
                  <c:v>0</c:v>
                </c:pt>
                <c:pt idx="5">
                  <c:v>0.25</c:v>
                </c:pt>
                <c:pt idx="6">
                  <c:v>0.5</c:v>
                </c:pt>
                <c:pt idx="7">
                  <c:v>0.75</c:v>
                </c:pt>
                <c:pt idx="8">
                  <c:v>0.99</c:v>
                </c:pt>
              </c:numCache>
            </c:numRef>
          </c:cat>
          <c:val>
            <c:numRef>
              <c:f>[3]AM_PERP_EXCH_CORR!$B$11:$J$11</c:f>
              <c:numCache>
                <c:formatCode>General</c:formatCode>
                <c:ptCount val="9"/>
                <c:pt idx="0">
                  <c:v>3.7320508075688776</c:v>
                </c:pt>
                <c:pt idx="1">
                  <c:v>3.4610721925561894</c:v>
                </c:pt>
                <c:pt idx="2">
                  <c:v>3.1861406616345072</c:v>
                </c:pt>
                <c:pt idx="3">
                  <c:v>2.9058688457449504</c:v>
                </c:pt>
                <c:pt idx="4">
                  <c:v>2.6180339887498953</c:v>
                </c:pt>
                <c:pt idx="5">
                  <c:v>2.3187293044088437</c:v>
                </c:pt>
                <c:pt idx="6">
                  <c:v>2</c:v>
                </c:pt>
                <c:pt idx="7">
                  <c:v>1.6403882032022077</c:v>
                </c:pt>
                <c:pt idx="8">
                  <c:v>1.1051249219725046</c:v>
                </c:pt>
              </c:numCache>
            </c:numRef>
          </c:val>
        </c:ser>
        <c:ser>
          <c:idx val="1"/>
          <c:order val="1"/>
          <c:tx>
            <c:strRef>
              <c:f>[3]AM_PERP_EXCH_CORR!$A$12</c:f>
              <c:strCache>
                <c:ptCount val="1"/>
                <c:pt idx="0">
                  <c:v>F(V,K)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[3]AM_PERP_EXCH_CORR!$B$9:$J$9</c:f>
              <c:numCache>
                <c:formatCode>General</c:formatCode>
                <c:ptCount val="9"/>
                <c:pt idx="0">
                  <c:v>-1</c:v>
                </c:pt>
                <c:pt idx="1">
                  <c:v>-0.75</c:v>
                </c:pt>
                <c:pt idx="2">
                  <c:v>-0.5</c:v>
                </c:pt>
                <c:pt idx="3">
                  <c:v>-0.25</c:v>
                </c:pt>
                <c:pt idx="4">
                  <c:v>0</c:v>
                </c:pt>
                <c:pt idx="5">
                  <c:v>0.25</c:v>
                </c:pt>
                <c:pt idx="6">
                  <c:v>0.5</c:v>
                </c:pt>
                <c:pt idx="7">
                  <c:v>0.75</c:v>
                </c:pt>
                <c:pt idx="8">
                  <c:v>0.99</c:v>
                </c:pt>
              </c:numCache>
            </c:numRef>
          </c:cat>
          <c:val>
            <c:numRef>
              <c:f>[3]AM_PERP_EXCH_CORR!$B$12:$J$12</c:f>
              <c:numCache>
                <c:formatCode>General</c:formatCode>
                <c:ptCount val="9"/>
                <c:pt idx="0">
                  <c:v>4.5205772181557808</c:v>
                </c:pt>
                <c:pt idx="1">
                  <c:v>4.2935632391051728</c:v>
                </c:pt>
                <c:pt idx="2">
                  <c:v>4.0383702019634207</c:v>
                </c:pt>
                <c:pt idx="3">
                  <c:v>3.7474716938974195</c:v>
                </c:pt>
                <c:pt idx="4">
                  <c:v>3.409490070205293</c:v>
                </c:pt>
                <c:pt idx="5">
                  <c:v>3.0056222469790645</c:v>
                </c:pt>
                <c:pt idx="6">
                  <c:v>2.5000000000000004</c:v>
                </c:pt>
                <c:pt idx="7">
                  <c:v>1.8023791689562476</c:v>
                </c:pt>
                <c:pt idx="8">
                  <c:v>0.36757330854501435</c:v>
                </c:pt>
              </c:numCache>
            </c:numRef>
          </c:val>
        </c:ser>
        <c:marker val="1"/>
        <c:axId val="134248704"/>
        <c:axId val="134251264"/>
      </c:lineChart>
      <c:catAx>
        <c:axId val="134248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 &amp; K Correlation</a:t>
                </a:r>
              </a:p>
            </c:rich>
          </c:tx>
          <c:layout>
            <c:manualLayout>
              <c:xMode val="edge"/>
              <c:yMode val="edge"/>
              <c:x val="0.27786515696526942"/>
              <c:y val="0.877359481008274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251264"/>
        <c:crosses val="autoZero"/>
        <c:auto val="1"/>
        <c:lblAlgn val="ctr"/>
        <c:lblOffset val="100"/>
        <c:tickLblSkip val="1"/>
        <c:tickMarkSkip val="1"/>
      </c:catAx>
      <c:valAx>
        <c:axId val="1342512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2487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260662472136037"/>
          <c:y val="0.45518917446639923"/>
          <c:w val="0.1648353296497278"/>
          <c:h val="0.1438681721388604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55" r="0.7500000000000045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Value of the Oil Field</a:t>
            </a:r>
          </a:p>
        </c:rich>
      </c:tx>
      <c:layout>
        <c:manualLayout>
          <c:xMode val="edge"/>
          <c:yMode val="edge"/>
          <c:x val="0.33560477001703903"/>
          <c:y val="3.225806451612935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13969335604771"/>
          <c:y val="0.18858583643406593"/>
          <c:w val="0.54003407155025551"/>
          <c:h val="0.66997599785786477"/>
        </c:manualLayout>
      </c:layout>
      <c:lineChart>
        <c:grouping val="standard"/>
        <c:ser>
          <c:idx val="0"/>
          <c:order val="0"/>
          <c:tx>
            <c:strRef>
              <c:f>'[5]Figure 33.1'!$A$2</c:f>
              <c:strCache>
                <c:ptCount val="1"/>
                <c:pt idx="0">
                  <c:v>I TRADITIONAL PRESENT VALUE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'[5]Figure 33.1'!$B$1:$P$1</c:f>
              <c:numCache>
                <c:formatCode>General</c:formatCode>
                <c:ptCount val="1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</c:numCache>
            </c:numRef>
          </c:cat>
          <c:val>
            <c:numRef>
              <c:f>'[5]Figure 33.1'!$B$2:$P$2</c:f>
              <c:numCache>
                <c:formatCode>General</c:formatCode>
                <c:ptCount val="15"/>
                <c:pt idx="0">
                  <c:v>-200</c:v>
                </c:pt>
                <c:pt idx="1">
                  <c:v>-100</c:v>
                </c:pt>
                <c:pt idx="2">
                  <c:v>0</c:v>
                </c:pt>
                <c:pt idx="3">
                  <c:v>100</c:v>
                </c:pt>
                <c:pt idx="4">
                  <c:v>200</c:v>
                </c:pt>
                <c:pt idx="5">
                  <c:v>300</c:v>
                </c:pt>
                <c:pt idx="6">
                  <c:v>400</c:v>
                </c:pt>
                <c:pt idx="7">
                  <c:v>500</c:v>
                </c:pt>
                <c:pt idx="8">
                  <c:v>600</c:v>
                </c:pt>
                <c:pt idx="9">
                  <c:v>700</c:v>
                </c:pt>
                <c:pt idx="10">
                  <c:v>800</c:v>
                </c:pt>
                <c:pt idx="11">
                  <c:v>900</c:v>
                </c:pt>
                <c:pt idx="12">
                  <c:v>1000</c:v>
                </c:pt>
                <c:pt idx="13">
                  <c:v>1100</c:v>
                </c:pt>
                <c:pt idx="14">
                  <c:v>1200</c:v>
                </c:pt>
              </c:numCache>
            </c:numRef>
          </c:val>
        </c:ser>
        <c:ser>
          <c:idx val="1"/>
          <c:order val="1"/>
          <c:tx>
            <c:strRef>
              <c:f>'[5]Figure 33.1'!$A$3</c:f>
              <c:strCache>
                <c:ptCount val="1"/>
                <c:pt idx="0">
                  <c:v>II EUROPEAN OPTION VALUE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'[5]Figure 33.1'!$B$1:$P$1</c:f>
              <c:numCache>
                <c:formatCode>General</c:formatCode>
                <c:ptCount val="1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</c:numCache>
            </c:numRef>
          </c:cat>
          <c:val>
            <c:numRef>
              <c:f>'[5]Figure 33.1'!$B$3:$P$3</c:f>
              <c:numCache>
                <c:formatCode>General</c:formatCode>
                <c:ptCount val="15"/>
                <c:pt idx="0">
                  <c:v>62.570664133283692</c:v>
                </c:pt>
                <c:pt idx="1">
                  <c:v>96.749807380848722</c:v>
                </c:pt>
                <c:pt idx="2">
                  <c:v>138.54656866371715</c:v>
                </c:pt>
                <c:pt idx="3">
                  <c:v>187.24839342094074</c:v>
                </c:pt>
                <c:pt idx="4">
                  <c:v>242.02071442866125</c:v>
                </c:pt>
                <c:pt idx="5">
                  <c:v>302.0130967707791</c:v>
                </c:pt>
                <c:pt idx="6">
                  <c:v>366.42385672020259</c:v>
                </c:pt>
                <c:pt idx="7">
                  <c:v>434.53102284370379</c:v>
                </c:pt>
                <c:pt idx="8">
                  <c:v>505.70519534462346</c:v>
                </c:pt>
                <c:pt idx="9">
                  <c:v>579.40901113429902</c:v>
                </c:pt>
                <c:pt idx="10">
                  <c:v>655.19051254023339</c:v>
                </c:pt>
                <c:pt idx="11">
                  <c:v>732.67365983055606</c:v>
                </c:pt>
                <c:pt idx="12">
                  <c:v>811.54799633663151</c:v>
                </c:pt>
                <c:pt idx="13">
                  <c:v>891.55861722152849</c:v>
                </c:pt>
                <c:pt idx="14">
                  <c:v>972.49702680431585</c:v>
                </c:pt>
              </c:numCache>
            </c:numRef>
          </c:val>
        </c:ser>
        <c:ser>
          <c:idx val="2"/>
          <c:order val="2"/>
          <c:tx>
            <c:strRef>
              <c:f>'[5]Figure 33.1'!$A$4</c:f>
              <c:strCache>
                <c:ptCount val="1"/>
                <c:pt idx="0">
                  <c:v>III FINITE AMERICAN OPTION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'[5]Figure 33.1'!$B$1:$P$1</c:f>
              <c:numCache>
                <c:formatCode>General</c:formatCode>
                <c:ptCount val="1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</c:numCache>
            </c:numRef>
          </c:cat>
          <c:val>
            <c:numRef>
              <c:f>'[5]Figure 33.1'!$B$4:$P$4</c:f>
              <c:numCache>
                <c:formatCode>General</c:formatCode>
                <c:ptCount val="15"/>
                <c:pt idx="0">
                  <c:v>75.107596990199241</c:v>
                </c:pt>
                <c:pt idx="1">
                  <c:v>116.57978573288892</c:v>
                </c:pt>
                <c:pt idx="2">
                  <c:v>168.43140872918613</c:v>
                </c:pt>
                <c:pt idx="3">
                  <c:v>230.55836929942512</c:v>
                </c:pt>
                <c:pt idx="4">
                  <c:v>302.79145134522747</c:v>
                </c:pt>
                <c:pt idx="5">
                  <c:v>385.00188449998302</c:v>
                </c:pt>
                <c:pt idx="6">
                  <c:v>477.16543913338728</c:v>
                </c:pt>
                <c:pt idx="7">
                  <c:v>500</c:v>
                </c:pt>
                <c:pt idx="8">
                  <c:v>600</c:v>
                </c:pt>
                <c:pt idx="9">
                  <c:v>700</c:v>
                </c:pt>
                <c:pt idx="10">
                  <c:v>800</c:v>
                </c:pt>
                <c:pt idx="11">
                  <c:v>900</c:v>
                </c:pt>
                <c:pt idx="12">
                  <c:v>1000</c:v>
                </c:pt>
                <c:pt idx="13">
                  <c:v>1100</c:v>
                </c:pt>
                <c:pt idx="14">
                  <c:v>1200</c:v>
                </c:pt>
              </c:numCache>
            </c:numRef>
          </c:val>
        </c:ser>
        <c:ser>
          <c:idx val="3"/>
          <c:order val="3"/>
          <c:tx>
            <c:strRef>
              <c:f>'[5]Figure 33.1'!$A$5</c:f>
              <c:strCache>
                <c:ptCount val="1"/>
                <c:pt idx="0">
                  <c:v>IV PERPETUAL AMERICAN OPTION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'[5]Figure 33.1'!$B$1:$P$1</c:f>
              <c:numCache>
                <c:formatCode>General</c:formatCode>
                <c:ptCount val="1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</c:numCache>
            </c:numRef>
          </c:cat>
          <c:val>
            <c:numRef>
              <c:f>'[5]Figure 33.1'!$B$5:$P$5</c:f>
              <c:numCache>
                <c:formatCode>General</c:formatCode>
                <c:ptCount val="15"/>
                <c:pt idx="0">
                  <c:v>160.05235310514669</c:v>
                </c:pt>
                <c:pt idx="1">
                  <c:v>202.55774181246031</c:v>
                </c:pt>
                <c:pt idx="2">
                  <c:v>250.06188009310696</c:v>
                </c:pt>
                <c:pt idx="3">
                  <c:v>302.56457957532535</c:v>
                </c:pt>
                <c:pt idx="4">
                  <c:v>360.06566992019395</c:v>
                </c:pt>
                <c:pt idx="5">
                  <c:v>422.56499566512639</c:v>
                </c:pt>
                <c:pt idx="6">
                  <c:v>490.06241383065179</c:v>
                </c:pt>
                <c:pt idx="7">
                  <c:v>562.55779206242971</c:v>
                </c:pt>
                <c:pt idx="8">
                  <c:v>640.05100715979063</c:v>
                </c:pt>
                <c:pt idx="9">
                  <c:v>722.54194389044096</c:v>
                </c:pt>
                <c:pt idx="10">
                  <c:v>810.03049402157751</c:v>
                </c:pt>
                <c:pt idx="11">
                  <c:v>902.51655551772035</c:v>
                </c:pt>
                <c:pt idx="12">
                  <c:v>1000.0000318690538</c:v>
                </c:pt>
                <c:pt idx="13">
                  <c:v>1100</c:v>
                </c:pt>
                <c:pt idx="14">
                  <c:v>1200</c:v>
                </c:pt>
              </c:numCache>
            </c:numRef>
          </c:val>
        </c:ser>
        <c:marker val="1"/>
        <c:axId val="134048384"/>
        <c:axId val="134059136"/>
      </c:lineChart>
      <c:catAx>
        <c:axId val="1340483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Current Spot Price of Oil</a:t>
                </a:r>
              </a:p>
            </c:rich>
          </c:tx>
          <c:layout>
            <c:manualLayout>
              <c:xMode val="edge"/>
              <c:yMode val="edge"/>
              <c:x val="0.22146507666098808"/>
              <c:y val="0.8908199006141606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059136"/>
        <c:crosses val="autoZero"/>
        <c:auto val="1"/>
        <c:lblAlgn val="ctr"/>
        <c:lblOffset val="100"/>
        <c:tickLblSkip val="1"/>
        <c:tickMarkSkip val="1"/>
      </c:catAx>
      <c:valAx>
        <c:axId val="134059136"/>
        <c:scaling>
          <c:orientation val="minMax"/>
          <c:max val="1200"/>
          <c:min val="-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0483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483816013628618"/>
          <c:y val="0.33995089323512478"/>
          <c:w val="0.30153321976149916"/>
          <c:h val="0.3697275681730863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55" r="0.7500000000000045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HYSTERESIS AS FUNCTION OF INVESTMENT COST</a:t>
            </a:r>
          </a:p>
        </c:rich>
      </c:tx>
      <c:layout>
        <c:manualLayout>
          <c:xMode val="edge"/>
          <c:yMode val="edge"/>
          <c:x val="0.210826210826212"/>
          <c:y val="3.81944444444444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4102653276705834E-2"/>
          <c:y val="0.22916744373726525"/>
          <c:w val="0.77492985294507399"/>
          <c:h val="0.53125180139092809"/>
        </c:manualLayout>
      </c:layout>
      <c:lineChart>
        <c:grouping val="standard"/>
        <c:ser>
          <c:idx val="0"/>
          <c:order val="0"/>
          <c:tx>
            <c:strRef>
              <c:f>[6]SENSITIVITIES!$A$35</c:f>
              <c:strCache>
                <c:ptCount val="1"/>
                <c:pt idx="0">
                  <c:v> WH-WL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[6]SENSITIVITIES!$B$23:$H$23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</c:numCache>
            </c:numRef>
          </c:cat>
          <c:val>
            <c:numRef>
              <c:f>[6]SENSITIVITIES!$B$35:$H$35</c:f>
              <c:numCache>
                <c:formatCode>General</c:formatCode>
                <c:ptCount val="7"/>
                <c:pt idx="0">
                  <c:v>1.08</c:v>
                </c:pt>
                <c:pt idx="1">
                  <c:v>1.1200000000000001</c:v>
                </c:pt>
                <c:pt idx="2">
                  <c:v>1.1599999999999999</c:v>
                </c:pt>
                <c:pt idx="3">
                  <c:v>1.2</c:v>
                </c:pt>
                <c:pt idx="4">
                  <c:v>1.24</c:v>
                </c:pt>
                <c:pt idx="5">
                  <c:v>1.28</c:v>
                </c:pt>
                <c:pt idx="6">
                  <c:v>1.32</c:v>
                </c:pt>
              </c:numCache>
            </c:numRef>
          </c:val>
        </c:ser>
        <c:ser>
          <c:idx val="1"/>
          <c:order val="1"/>
          <c:tx>
            <c:strRef>
              <c:f>[6]SENSITIVITIES!$A$36</c:f>
              <c:strCache>
                <c:ptCount val="1"/>
                <c:pt idx="0">
                  <c:v> PH-PL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[6]SENSITIVITIES!$B$23:$H$23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</c:numCache>
            </c:numRef>
          </c:cat>
          <c:val>
            <c:numRef>
              <c:f>[6]SENSITIVITIES!$B$36:$H$36</c:f>
              <c:numCache>
                <c:formatCode>General</c:formatCode>
                <c:ptCount val="7"/>
                <c:pt idx="0">
                  <c:v>2.16</c:v>
                </c:pt>
                <c:pt idx="1">
                  <c:v>2.2400000000000002</c:v>
                </c:pt>
                <c:pt idx="2">
                  <c:v>2.3199999999999998</c:v>
                </c:pt>
                <c:pt idx="3">
                  <c:v>2.4</c:v>
                </c:pt>
                <c:pt idx="4">
                  <c:v>2.48</c:v>
                </c:pt>
                <c:pt idx="5">
                  <c:v>2.56</c:v>
                </c:pt>
                <c:pt idx="6">
                  <c:v>2.64</c:v>
                </c:pt>
              </c:numCache>
            </c:numRef>
          </c:val>
        </c:ser>
        <c:marker val="1"/>
        <c:axId val="134620672"/>
        <c:axId val="134627328"/>
      </c:lineChart>
      <c:catAx>
        <c:axId val="134620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INVESTMENT COST</a:t>
                </a:r>
              </a:p>
            </c:rich>
          </c:tx>
          <c:layout>
            <c:manualLayout>
              <c:xMode val="edge"/>
              <c:yMode val="edge"/>
              <c:x val="0.36182381048522788"/>
              <c:y val="0.868058471857684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627328"/>
        <c:crosses val="autoZero"/>
        <c:auto val="1"/>
        <c:lblAlgn val="ctr"/>
        <c:lblOffset val="100"/>
        <c:tickLblSkip val="1"/>
        <c:tickMarkSkip val="1"/>
      </c:catAx>
      <c:valAx>
        <c:axId val="134627328"/>
        <c:scaling>
          <c:orientation val="minMax"/>
          <c:max val="3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62067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82455825501014"/>
          <c:y val="0.42014034703995584"/>
          <c:w val="0.12678077633458054"/>
          <c:h val="0.149305920093321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55" r="0.7500000000000045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HYSTERESIS AS FUNCTION OF VOLATILITY</a:t>
            </a:r>
          </a:p>
        </c:rich>
      </c:tx>
      <c:layout>
        <c:manualLayout>
          <c:xMode val="edge"/>
          <c:yMode val="edge"/>
          <c:x val="0.25498575498575532"/>
          <c:y val="3.79310344827589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6951660089003634E-2"/>
          <c:y val="0.23103448275862223"/>
          <c:w val="0.75213779844667961"/>
          <c:h val="0.52413793103448281"/>
        </c:manualLayout>
      </c:layout>
      <c:lineChart>
        <c:grouping val="standard"/>
        <c:ser>
          <c:idx val="0"/>
          <c:order val="0"/>
          <c:tx>
            <c:strRef>
              <c:f>[6]SENSITIVITIES!$A$103</c:f>
              <c:strCache>
                <c:ptCount val="1"/>
                <c:pt idx="0">
                  <c:v> WH-WL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[6]SENSITIVITIES!$B$96:$H$96</c:f>
              <c:numCache>
                <c:formatCode>General</c:formatCode>
                <c:ptCount val="7"/>
                <c:pt idx="0">
                  <c:v>0.14000000000000004</c:v>
                </c:pt>
                <c:pt idx="1">
                  <c:v>0.16000000000000003</c:v>
                </c:pt>
                <c:pt idx="2">
                  <c:v>0.18000000000000002</c:v>
                </c:pt>
                <c:pt idx="3">
                  <c:v>0.2</c:v>
                </c:pt>
                <c:pt idx="4">
                  <c:v>0.22</c:v>
                </c:pt>
                <c:pt idx="5">
                  <c:v>0.24</c:v>
                </c:pt>
                <c:pt idx="6">
                  <c:v>0.26</c:v>
                </c:pt>
              </c:numCache>
            </c:numRef>
          </c:cat>
          <c:val>
            <c:numRef>
              <c:f>[6]SENSITIVITIES!$B$103:$H$103</c:f>
              <c:numCache>
                <c:formatCode>General</c:formatCode>
                <c:ptCount val="7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</c:numCache>
            </c:numRef>
          </c:val>
        </c:ser>
        <c:ser>
          <c:idx val="1"/>
          <c:order val="1"/>
          <c:tx>
            <c:strRef>
              <c:f>[6]SENSITIVITIES!$A$104</c:f>
              <c:strCache>
                <c:ptCount val="1"/>
                <c:pt idx="0">
                  <c:v> PH-PL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[6]SENSITIVITIES!$B$96:$H$96</c:f>
              <c:numCache>
                <c:formatCode>General</c:formatCode>
                <c:ptCount val="7"/>
                <c:pt idx="0">
                  <c:v>0.14000000000000004</c:v>
                </c:pt>
                <c:pt idx="1">
                  <c:v>0.16000000000000003</c:v>
                </c:pt>
                <c:pt idx="2">
                  <c:v>0.18000000000000002</c:v>
                </c:pt>
                <c:pt idx="3">
                  <c:v>0.2</c:v>
                </c:pt>
                <c:pt idx="4">
                  <c:v>0.22</c:v>
                </c:pt>
                <c:pt idx="5">
                  <c:v>0.24</c:v>
                </c:pt>
                <c:pt idx="6">
                  <c:v>0.26</c:v>
                </c:pt>
              </c:numCache>
            </c:numRef>
          </c:cat>
          <c:val>
            <c:numRef>
              <c:f>[6]SENSITIVITIES!$B$104:$H$104</c:f>
              <c:numCache>
                <c:formatCode>General</c:formatCode>
                <c:ptCount val="7"/>
                <c:pt idx="0">
                  <c:v>1.9588896959420055</c:v>
                </c:pt>
                <c:pt idx="1">
                  <c:v>2.0974530459215557</c:v>
                </c:pt>
                <c:pt idx="2">
                  <c:v>2.2444043923014148</c:v>
                </c:pt>
                <c:pt idx="3">
                  <c:v>2.4</c:v>
                </c:pt>
                <c:pt idx="4">
                  <c:v>2.564483399762572</c:v>
                </c:pt>
                <c:pt idx="5">
                  <c:v>2.7380849876930795</c:v>
                </c:pt>
                <c:pt idx="6">
                  <c:v>2.9210218284693243</c:v>
                </c:pt>
              </c:numCache>
            </c:numRef>
          </c:val>
        </c:ser>
        <c:marker val="1"/>
        <c:axId val="134656000"/>
        <c:axId val="134658304"/>
      </c:lineChart>
      <c:catAx>
        <c:axId val="134656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VOLATILITY</a:t>
                </a:r>
              </a:p>
            </c:rich>
          </c:tx>
          <c:layout>
            <c:manualLayout>
              <c:xMode val="edge"/>
              <c:yMode val="edge"/>
              <c:x val="0.38461598283120868"/>
              <c:y val="0.865517241379310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658304"/>
        <c:crosses val="autoZero"/>
        <c:auto val="1"/>
        <c:lblAlgn val="ctr"/>
        <c:lblOffset val="100"/>
        <c:tickLblSkip val="1"/>
        <c:tickMarkSkip val="1"/>
      </c:catAx>
      <c:valAx>
        <c:axId val="134658304"/>
        <c:scaling>
          <c:orientation val="minMax"/>
          <c:max val="3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65600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755105398150466"/>
          <c:y val="0.41724137931034488"/>
          <c:w val="0.13105428060808633"/>
          <c:h val="0.1551724137931034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55" r="0.7500000000000045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HYSTERESIS AS FUNCTION OF INTEREST RATE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MARSHALL_SENSE!$A$52</c:f>
              <c:strCache>
                <c:ptCount val="1"/>
                <c:pt idx="0">
                  <c:v>WK-WA</c:v>
                </c:pt>
              </c:strCache>
            </c:strRef>
          </c:tx>
          <c:cat>
            <c:numRef>
              <c:f>MARSHALL_SENSE!$B$42:$H$42</c:f>
              <c:numCache>
                <c:formatCode>General</c:formatCode>
                <c:ptCount val="7"/>
                <c:pt idx="0">
                  <c:v>0.04</c:v>
                </c:pt>
                <c:pt idx="1">
                  <c:v>0.05</c:v>
                </c:pt>
                <c:pt idx="2">
                  <c:v>6.0000000000000005E-2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0.09</c:v>
                </c:pt>
                <c:pt idx="6">
                  <c:v>9.9999999999999992E-2</c:v>
                </c:pt>
              </c:numCache>
            </c:numRef>
          </c:cat>
          <c:val>
            <c:numRef>
              <c:f>MARSHALL_SENSE!$B$52:$H$52</c:f>
              <c:numCache>
                <c:formatCode>0.000</c:formatCode>
                <c:ptCount val="7"/>
                <c:pt idx="0">
                  <c:v>1.2</c:v>
                </c:pt>
                <c:pt idx="1">
                  <c:v>1.25</c:v>
                </c:pt>
                <c:pt idx="2">
                  <c:v>1.3</c:v>
                </c:pt>
                <c:pt idx="3">
                  <c:v>1.35</c:v>
                </c:pt>
                <c:pt idx="4">
                  <c:v>1.4</c:v>
                </c:pt>
                <c:pt idx="5">
                  <c:v>1.45</c:v>
                </c:pt>
                <c:pt idx="6">
                  <c:v>1.5</c:v>
                </c:pt>
              </c:numCache>
            </c:numRef>
          </c:val>
        </c:ser>
        <c:ser>
          <c:idx val="1"/>
          <c:order val="1"/>
          <c:tx>
            <c:strRef>
              <c:f>MARSHALL_SENSE!$A$53</c:f>
              <c:strCache>
                <c:ptCount val="1"/>
                <c:pt idx="0">
                  <c:v>PK-PA</c:v>
                </c:pt>
              </c:strCache>
            </c:strRef>
          </c:tx>
          <c:cat>
            <c:numRef>
              <c:f>MARSHALL_SENSE!$B$42:$H$42</c:f>
              <c:numCache>
                <c:formatCode>General</c:formatCode>
                <c:ptCount val="7"/>
                <c:pt idx="0">
                  <c:v>0.04</c:v>
                </c:pt>
                <c:pt idx="1">
                  <c:v>0.05</c:v>
                </c:pt>
                <c:pt idx="2">
                  <c:v>6.0000000000000005E-2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0.09</c:v>
                </c:pt>
                <c:pt idx="6">
                  <c:v>9.9999999999999992E-2</c:v>
                </c:pt>
              </c:numCache>
            </c:numRef>
          </c:cat>
          <c:val>
            <c:numRef>
              <c:f>MARSHALL_SENSE!$B$53:$H$53</c:f>
              <c:numCache>
                <c:formatCode>0.000</c:formatCode>
                <c:ptCount val="7"/>
                <c:pt idx="0">
                  <c:v>2.4</c:v>
                </c:pt>
                <c:pt idx="1">
                  <c:v>2.32915619758885</c:v>
                </c:pt>
                <c:pt idx="2">
                  <c:v>2.2978694430171975</c:v>
                </c:pt>
                <c:pt idx="3">
                  <c:v>2.2897896453400022</c:v>
                </c:pt>
                <c:pt idx="4">
                  <c:v>2.2965434844830908</c:v>
                </c:pt>
                <c:pt idx="5">
                  <c:v>2.3133781631259973</c:v>
                </c:pt>
                <c:pt idx="6">
                  <c:v>2.3373863542433764</c:v>
                </c:pt>
              </c:numCache>
            </c:numRef>
          </c:val>
        </c:ser>
        <c:marker val="1"/>
        <c:axId val="134895104"/>
        <c:axId val="134897024"/>
      </c:lineChart>
      <c:catAx>
        <c:axId val="134895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INTEREST RATE</a:t>
                </a:r>
              </a:p>
            </c:rich>
          </c:tx>
        </c:title>
        <c:numFmt formatCode="General" sourceLinked="1"/>
        <c:tickLblPos val="nextTo"/>
        <c:crossAx val="134897024"/>
        <c:crosses val="autoZero"/>
        <c:auto val="1"/>
        <c:lblAlgn val="ctr"/>
        <c:lblOffset val="100"/>
      </c:catAx>
      <c:valAx>
        <c:axId val="134897024"/>
        <c:scaling>
          <c:orientation val="minMax"/>
          <c:max val="2.5"/>
          <c:min val="1"/>
        </c:scaling>
        <c:axPos val="l"/>
        <c:majorGridlines/>
        <c:numFmt formatCode="0.000" sourceLinked="1"/>
        <c:tickLblPos val="nextTo"/>
        <c:crossAx val="13489510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HYSTERESIS</a:t>
            </a:r>
            <a:r>
              <a:rPr lang="en-US" baseline="0"/>
              <a:t> AS FUNCTION OF OPERATING COST</a:t>
            </a:r>
            <a:endParaRPr lang="en-US"/>
          </a:p>
        </c:rich>
      </c:tx>
      <c:layout>
        <c:manualLayout>
          <c:xMode val="edge"/>
          <c:yMode val="edge"/>
          <c:x val="9.6798556430446228E-2"/>
          <c:y val="0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MARSHALL_SENSE!$A$18</c:f>
              <c:strCache>
                <c:ptCount val="1"/>
                <c:pt idx="0">
                  <c:v>WK-WA</c:v>
                </c:pt>
              </c:strCache>
            </c:strRef>
          </c:tx>
          <c:cat>
            <c:numRef>
              <c:f>MARSHALL_SENSE!$B$5:$H$5</c:f>
              <c:numCache>
                <c:formatCode>General</c:formatCode>
                <c:ptCount val="7"/>
                <c:pt idx="0">
                  <c:v>0.40000000000000013</c:v>
                </c:pt>
                <c:pt idx="1">
                  <c:v>0.50000000000000011</c:v>
                </c:pt>
                <c:pt idx="2">
                  <c:v>0.60000000000000009</c:v>
                </c:pt>
                <c:pt idx="3">
                  <c:v>0.70000000000000007</c:v>
                </c:pt>
                <c:pt idx="4">
                  <c:v>0.8</c:v>
                </c:pt>
                <c:pt idx="5">
                  <c:v>0.9</c:v>
                </c:pt>
                <c:pt idx="6">
                  <c:v>1</c:v>
                </c:pt>
              </c:numCache>
            </c:numRef>
          </c:cat>
          <c:val>
            <c:numRef>
              <c:f>MARSHALL_SENSE!$B$18:$H$18</c:f>
              <c:numCache>
                <c:formatCode>0.000</c:formatCode>
                <c:ptCount val="7"/>
                <c:pt idx="0">
                  <c:v>0.60000000000000009</c:v>
                </c:pt>
                <c:pt idx="1">
                  <c:v>0.70000000000000018</c:v>
                </c:pt>
                <c:pt idx="2">
                  <c:v>0.8</c:v>
                </c:pt>
                <c:pt idx="3">
                  <c:v>0.90000000000000013</c:v>
                </c:pt>
                <c:pt idx="4">
                  <c:v>1</c:v>
                </c:pt>
                <c:pt idx="5">
                  <c:v>1.1000000000000001</c:v>
                </c:pt>
                <c:pt idx="6">
                  <c:v>1.2</c:v>
                </c:pt>
              </c:numCache>
            </c:numRef>
          </c:val>
        </c:ser>
        <c:ser>
          <c:idx val="1"/>
          <c:order val="1"/>
          <c:tx>
            <c:strRef>
              <c:f>MARSHALL_SENSE!$A$19</c:f>
              <c:strCache>
                <c:ptCount val="1"/>
                <c:pt idx="0">
                  <c:v>PK-PA</c:v>
                </c:pt>
              </c:strCache>
            </c:strRef>
          </c:tx>
          <c:cat>
            <c:numRef>
              <c:f>MARSHALL_SENSE!$B$5:$H$5</c:f>
              <c:numCache>
                <c:formatCode>General</c:formatCode>
                <c:ptCount val="7"/>
                <c:pt idx="0">
                  <c:v>0.40000000000000013</c:v>
                </c:pt>
                <c:pt idx="1">
                  <c:v>0.50000000000000011</c:v>
                </c:pt>
                <c:pt idx="2">
                  <c:v>0.60000000000000009</c:v>
                </c:pt>
                <c:pt idx="3">
                  <c:v>0.70000000000000007</c:v>
                </c:pt>
                <c:pt idx="4">
                  <c:v>0.8</c:v>
                </c:pt>
                <c:pt idx="5">
                  <c:v>0.9</c:v>
                </c:pt>
                <c:pt idx="6">
                  <c:v>1</c:v>
                </c:pt>
              </c:numCache>
            </c:numRef>
          </c:cat>
          <c:val>
            <c:numRef>
              <c:f>MARSHALL_SENSE!$B$19:$H$19</c:f>
              <c:numCache>
                <c:formatCode>0.000</c:formatCode>
                <c:ptCount val="7"/>
                <c:pt idx="0">
                  <c:v>1.2000000000000002</c:v>
                </c:pt>
                <c:pt idx="1">
                  <c:v>1.4000000000000004</c:v>
                </c:pt>
                <c:pt idx="2">
                  <c:v>1.6</c:v>
                </c:pt>
                <c:pt idx="3">
                  <c:v>1.8000000000000003</c:v>
                </c:pt>
                <c:pt idx="4">
                  <c:v>2</c:v>
                </c:pt>
                <c:pt idx="5">
                  <c:v>2.2000000000000002</c:v>
                </c:pt>
                <c:pt idx="6">
                  <c:v>2.4</c:v>
                </c:pt>
              </c:numCache>
            </c:numRef>
          </c:val>
        </c:ser>
        <c:marker val="1"/>
        <c:axId val="134926336"/>
        <c:axId val="134928256"/>
      </c:lineChart>
      <c:catAx>
        <c:axId val="134926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OPERATING</a:t>
                </a:r>
                <a:r>
                  <a:rPr lang="en-US" baseline="0"/>
                  <a:t> COST</a:t>
                </a:r>
                <a:endParaRPr lang="en-US"/>
              </a:p>
            </c:rich>
          </c:tx>
        </c:title>
        <c:numFmt formatCode="General" sourceLinked="1"/>
        <c:tickLblPos val="nextTo"/>
        <c:crossAx val="134928256"/>
        <c:crosses val="autoZero"/>
        <c:auto val="1"/>
        <c:lblAlgn val="ctr"/>
        <c:lblOffset val="100"/>
      </c:catAx>
      <c:valAx>
        <c:axId val="134928256"/>
        <c:scaling>
          <c:orientation val="minMax"/>
        </c:scaling>
        <c:axPos val="l"/>
        <c:majorGridlines/>
        <c:numFmt formatCode="0.000" sourceLinked="1"/>
        <c:tickLblPos val="nextTo"/>
        <c:crossAx val="13492633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HYSTERESIS</a:t>
            </a:r>
            <a:r>
              <a:rPr lang="en-US" baseline="0"/>
              <a:t> AS FUNCTION </a:t>
            </a:r>
          </a:p>
          <a:p>
            <a:pPr>
              <a:defRPr/>
            </a:pPr>
            <a:r>
              <a:rPr lang="en-US" baseline="0"/>
              <a:t>OF ASSET YIELD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MARSHALL_SENSE!$A$69</c:f>
              <c:strCache>
                <c:ptCount val="1"/>
                <c:pt idx="0">
                  <c:v>WK-WA</c:v>
                </c:pt>
              </c:strCache>
            </c:strRef>
          </c:tx>
          <c:cat>
            <c:numRef>
              <c:f>MARSHALL_SENSE!$B$60:$H$60</c:f>
              <c:numCache>
                <c:formatCode>General</c:formatCode>
                <c:ptCount val="7"/>
                <c:pt idx="0">
                  <c:v>2.5000000000000001E-2</c:v>
                </c:pt>
                <c:pt idx="1">
                  <c:v>3.0000000000000002E-2</c:v>
                </c:pt>
                <c:pt idx="2">
                  <c:v>3.5000000000000003E-2</c:v>
                </c:pt>
                <c:pt idx="3">
                  <c:v>0.04</c:v>
                </c:pt>
                <c:pt idx="4">
                  <c:v>4.4999999999999998E-2</c:v>
                </c:pt>
                <c:pt idx="5">
                  <c:v>4.9999999999999996E-2</c:v>
                </c:pt>
                <c:pt idx="6">
                  <c:v>5.4999999999999993E-2</c:v>
                </c:pt>
              </c:numCache>
            </c:numRef>
          </c:cat>
          <c:val>
            <c:numRef>
              <c:f>MARSHALL_SENSE!$B$69:$H$69</c:f>
              <c:numCache>
                <c:formatCode>0.000</c:formatCode>
                <c:ptCount val="7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</c:numCache>
            </c:numRef>
          </c:val>
        </c:ser>
        <c:ser>
          <c:idx val="1"/>
          <c:order val="1"/>
          <c:tx>
            <c:strRef>
              <c:f>MARSHALL_SENSE!$A$70</c:f>
              <c:strCache>
                <c:ptCount val="1"/>
                <c:pt idx="0">
                  <c:v>PK-PA</c:v>
                </c:pt>
              </c:strCache>
            </c:strRef>
          </c:tx>
          <c:cat>
            <c:numRef>
              <c:f>MARSHALL_SENSE!$B$60:$H$60</c:f>
              <c:numCache>
                <c:formatCode>General</c:formatCode>
                <c:ptCount val="7"/>
                <c:pt idx="0">
                  <c:v>2.5000000000000001E-2</c:v>
                </c:pt>
                <c:pt idx="1">
                  <c:v>3.0000000000000002E-2</c:v>
                </c:pt>
                <c:pt idx="2">
                  <c:v>3.5000000000000003E-2</c:v>
                </c:pt>
                <c:pt idx="3">
                  <c:v>0.04</c:v>
                </c:pt>
                <c:pt idx="4">
                  <c:v>4.4999999999999998E-2</c:v>
                </c:pt>
                <c:pt idx="5">
                  <c:v>4.9999999999999996E-2</c:v>
                </c:pt>
                <c:pt idx="6">
                  <c:v>5.4999999999999993E-2</c:v>
                </c:pt>
              </c:numCache>
            </c:numRef>
          </c:cat>
          <c:val>
            <c:numRef>
              <c:f>MARSHALL_SENSE!$B$70:$H$70</c:f>
              <c:numCache>
                <c:formatCode>0.000</c:formatCode>
                <c:ptCount val="7"/>
                <c:pt idx="0">
                  <c:v>3.4029380029920655</c:v>
                </c:pt>
                <c:pt idx="1">
                  <c:v>2.9489125293076057</c:v>
                </c:pt>
                <c:pt idx="2">
                  <c:v>2.6318314209188247</c:v>
                </c:pt>
                <c:pt idx="3">
                  <c:v>2.4</c:v>
                </c:pt>
                <c:pt idx="4">
                  <c:v>2.2246211251235319</c:v>
                </c:pt>
                <c:pt idx="5">
                  <c:v>2.0883749084919421</c:v>
                </c:pt>
                <c:pt idx="6">
                  <c:v>1.9802255288536403</c:v>
                </c:pt>
              </c:numCache>
            </c:numRef>
          </c:val>
        </c:ser>
        <c:marker val="1"/>
        <c:axId val="134945024"/>
        <c:axId val="134959488"/>
      </c:lineChart>
      <c:catAx>
        <c:axId val="1349450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ASSET YIELD</a:t>
                </a:r>
              </a:p>
            </c:rich>
          </c:tx>
        </c:title>
        <c:numFmt formatCode="General" sourceLinked="1"/>
        <c:tickLblPos val="nextTo"/>
        <c:crossAx val="134959488"/>
        <c:crosses val="autoZero"/>
        <c:auto val="1"/>
        <c:lblAlgn val="ctr"/>
        <c:lblOffset val="100"/>
      </c:catAx>
      <c:valAx>
        <c:axId val="134959488"/>
        <c:scaling>
          <c:orientation val="minMax"/>
          <c:min val="1"/>
        </c:scaling>
        <c:axPos val="l"/>
        <c:majorGridlines/>
        <c:numFmt formatCode="0.000" sourceLinked="1"/>
        <c:tickLblPos val="nextTo"/>
        <c:crossAx val="13494502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
Investment Model</a:t>
            </a:r>
          </a:p>
        </c:rich>
      </c:tx>
      <c:layout>
        <c:manualLayout>
          <c:xMode val="edge"/>
          <c:yMode val="edge"/>
          <c:x val="0.40489130434782833"/>
          <c:y val="3.83275261324041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326093807116862"/>
          <c:y val="0.30313588850174217"/>
          <c:w val="0.67663088367687596"/>
          <c:h val="0.52613240418118468"/>
        </c:manualLayout>
      </c:layout>
      <c:lineChart>
        <c:grouping val="standard"/>
        <c:ser>
          <c:idx val="0"/>
          <c:order val="0"/>
          <c:tx>
            <c:strRef>
              <c:f>[7]ENTRY_ONLY!$A$15</c:f>
              <c:strCache>
                <c:ptCount val="1"/>
                <c:pt idx="0">
                  <c:v>Option to Invest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[7]ENTRY_ONLY!$B$5:$J$5</c:f>
              <c:numCache>
                <c:formatCode>General</c:formatCode>
                <c:ptCount val="9"/>
                <c:pt idx="0">
                  <c:v>1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</c:numCache>
            </c:numRef>
          </c:cat>
          <c:val>
            <c:numRef>
              <c:f>[7]ENTRY_ONLY!$B$15:$J$15</c:f>
              <c:numCache>
                <c:formatCode>General</c:formatCode>
                <c:ptCount val="9"/>
                <c:pt idx="0">
                  <c:v>9.539285350502567</c:v>
                </c:pt>
                <c:pt idx="1">
                  <c:v>32.367005256412355</c:v>
                </c:pt>
                <c:pt idx="2">
                  <c:v>81.559742489223837</c:v>
                </c:pt>
                <c:pt idx="3">
                  <c:v>140.04389826959502</c:v>
                </c:pt>
                <c:pt idx="4">
                  <c:v>205.51767277235692</c:v>
                </c:pt>
                <c:pt idx="5">
                  <c:v>276.73400227211681</c:v>
                </c:pt>
                <c:pt idx="6">
                  <c:v>352.88851067839806</c:v>
                </c:pt>
                <c:pt idx="7">
                  <c:v>433.41097553564333</c:v>
                </c:pt>
                <c:pt idx="8">
                  <c:v>517.87208410259757</c:v>
                </c:pt>
              </c:numCache>
            </c:numRef>
          </c:val>
        </c:ser>
        <c:ser>
          <c:idx val="1"/>
          <c:order val="1"/>
          <c:tx>
            <c:strRef>
              <c:f>[7]ENTRY_ONLY!$A$16</c:f>
              <c:strCache>
                <c:ptCount val="1"/>
                <c:pt idx="0">
                  <c:v>NPV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[7]ENTRY_ONLY!$B$5:$J$5</c:f>
              <c:numCache>
                <c:formatCode>General</c:formatCode>
                <c:ptCount val="9"/>
                <c:pt idx="0">
                  <c:v>1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</c:numCache>
            </c:numRef>
          </c:cat>
          <c:val>
            <c:numRef>
              <c:f>[7]ENTRY_ONLY!$B$16:$J$16</c:f>
              <c:numCache>
                <c:formatCode>General</c:formatCode>
                <c:ptCount val="9"/>
                <c:pt idx="0">
                  <c:v>-116.66666666666666</c:v>
                </c:pt>
                <c:pt idx="1">
                  <c:v>-66.666666666666657</c:v>
                </c:pt>
                <c:pt idx="2">
                  <c:v>16.666666666666686</c:v>
                </c:pt>
                <c:pt idx="3">
                  <c:v>100</c:v>
                </c:pt>
                <c:pt idx="4">
                  <c:v>183.33333333333337</c:v>
                </c:pt>
                <c:pt idx="5">
                  <c:v>266.66666666666669</c:v>
                </c:pt>
                <c:pt idx="6">
                  <c:v>350</c:v>
                </c:pt>
                <c:pt idx="7">
                  <c:v>433.33333333333337</c:v>
                </c:pt>
                <c:pt idx="8">
                  <c:v>516.66666666666674</c:v>
                </c:pt>
              </c:numCache>
            </c:numRef>
          </c:val>
        </c:ser>
        <c:marker val="1"/>
        <c:axId val="135165824"/>
        <c:axId val="135180672"/>
      </c:lineChart>
      <c:catAx>
        <c:axId val="135165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0.41168506789912401"/>
              <c:y val="0.867595818815331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180672"/>
        <c:crosses val="autoZero"/>
        <c:auto val="1"/>
        <c:lblAlgn val="ctr"/>
        <c:lblOffset val="100"/>
        <c:tickLblSkip val="1"/>
        <c:tickMarkSkip val="1"/>
      </c:catAx>
      <c:valAx>
        <c:axId val="1351806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Investment Values</a:t>
                </a:r>
              </a:p>
            </c:rich>
          </c:tx>
          <c:layout>
            <c:manualLayout>
              <c:xMode val="edge"/>
              <c:yMode val="edge"/>
              <c:x val="2.1739130434782612E-2"/>
              <c:y val="0.3554006968641144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16582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85926623303184"/>
          <c:y val="0.49128919860627185"/>
          <c:w val="0.17527188177564756"/>
          <c:h val="0.1498257839721268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55" r="0.75000000000000455" t="1" header="0.5" footer="0.5"/>
    <c:pageSetup paperSize="9" orientation="landscape" horizontalDpi="0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 
Investment-Abandonment Model</a:t>
            </a:r>
          </a:p>
        </c:rich>
      </c:tx>
      <c:layout>
        <c:manualLayout>
          <c:xMode val="edge"/>
          <c:yMode val="edge"/>
          <c:x val="0.28980526918671501"/>
          <c:y val="3.19410319410319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027504863242022"/>
          <c:y val="0.28255528255528256"/>
          <c:w val="0.54753784044091858"/>
          <c:h val="0.56265356265356825"/>
        </c:manualLayout>
      </c:layout>
      <c:lineChart>
        <c:grouping val="standard"/>
        <c:ser>
          <c:idx val="0"/>
          <c:order val="0"/>
          <c:tx>
            <c:strRef>
              <c:f>'[7]FIG8.5_8.6'!$B$32</c:f>
              <c:strCache>
                <c:ptCount val="1"/>
                <c:pt idx="0">
                  <c:v>OPTION TO INVEST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'[7]FIG8.5_8.6'!$C$5:$K$5</c:f>
              <c:numCache>
                <c:formatCode>General</c:formatCode>
                <c:ptCount val="9"/>
                <c:pt idx="0">
                  <c:v>1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</c:numCache>
            </c:numRef>
          </c:cat>
          <c:val>
            <c:numRef>
              <c:f>'[7]FIG8.5_8.6'!$C$32:$K$32</c:f>
              <c:numCache>
                <c:formatCode>General</c:formatCode>
                <c:ptCount val="9"/>
                <c:pt idx="0">
                  <c:v>9.5672592213042442</c:v>
                </c:pt>
                <c:pt idx="1">
                  <c:v>32.461921216047884</c:v>
                </c:pt>
                <c:pt idx="2">
                  <c:v>81.798915720255394</c:v>
                </c:pt>
                <c:pt idx="3">
                  <c:v>140.45457577559401</c:v>
                </c:pt>
                <c:pt idx="4">
                  <c:v>206.12035154905291</c:v>
                </c:pt>
                <c:pt idx="5">
                  <c:v>277.54552231177922</c:v>
                </c:pt>
                <c:pt idx="6">
                  <c:v>353.92335314745083</c:v>
                </c:pt>
                <c:pt idx="7">
                  <c:v>434.68194942815018</c:v>
                </c:pt>
                <c:pt idx="8">
                  <c:v>516.66666666666674</c:v>
                </c:pt>
              </c:numCache>
            </c:numRef>
          </c:val>
        </c:ser>
        <c:ser>
          <c:idx val="1"/>
          <c:order val="1"/>
          <c:tx>
            <c:strRef>
              <c:f>'[7]FIG8.5_8.6'!$B$33</c:f>
              <c:strCache>
                <c:ptCount val="1"/>
                <c:pt idx="0">
                  <c:v>OPTION TO ABANDON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'[7]FIG8.5_8.6'!$C$5:$K$5</c:f>
              <c:numCache>
                <c:formatCode>General</c:formatCode>
                <c:ptCount val="9"/>
                <c:pt idx="0">
                  <c:v>1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</c:numCache>
            </c:numRef>
          </c:cat>
          <c:val>
            <c:numRef>
              <c:f>'[7]FIG8.5_8.6'!$C$33:$K$33</c:f>
              <c:numCache>
                <c:formatCode>General</c:formatCode>
                <c:ptCount val="9"/>
                <c:pt idx="0">
                  <c:v>23.330194606438006</c:v>
                </c:pt>
                <c:pt idx="1">
                  <c:v>9.3320778425752042</c:v>
                </c:pt>
                <c:pt idx="2">
                  <c:v>4.666038921287603</c:v>
                </c:pt>
                <c:pt idx="3">
                  <c:v>3.1106926141917355</c:v>
                </c:pt>
                <c:pt idx="4">
                  <c:v>2.3330194606438011</c:v>
                </c:pt>
                <c:pt idx="5">
                  <c:v>1.8664155685150408</c:v>
                </c:pt>
                <c:pt idx="6">
                  <c:v>1.5553463070958677</c:v>
                </c:pt>
                <c:pt idx="7">
                  <c:v>1.3331539775107433</c:v>
                </c:pt>
                <c:pt idx="8">
                  <c:v>1.1665097303219008</c:v>
                </c:pt>
              </c:numCache>
            </c:numRef>
          </c:val>
        </c:ser>
        <c:ser>
          <c:idx val="2"/>
          <c:order val="2"/>
          <c:tx>
            <c:strRef>
              <c:f>'[7]FIG8.5_8.6'!$B$34</c:f>
              <c:strCache>
                <c:ptCount val="1"/>
                <c:pt idx="0">
                  <c:v>PV-I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'[7]FIG8.5_8.6'!$C$5:$K$5</c:f>
              <c:numCache>
                <c:formatCode>General</c:formatCode>
                <c:ptCount val="9"/>
                <c:pt idx="0">
                  <c:v>1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</c:numCache>
            </c:numRef>
          </c:cat>
          <c:val>
            <c:numRef>
              <c:f>'[7]FIG8.5_8.6'!$C$34:$K$34</c:f>
              <c:numCache>
                <c:formatCode>General</c:formatCode>
                <c:ptCount val="9"/>
                <c:pt idx="0">
                  <c:v>-116.66666666666666</c:v>
                </c:pt>
                <c:pt idx="1">
                  <c:v>-66.666666666666657</c:v>
                </c:pt>
                <c:pt idx="2">
                  <c:v>16.666666666666686</c:v>
                </c:pt>
                <c:pt idx="3">
                  <c:v>100</c:v>
                </c:pt>
                <c:pt idx="4">
                  <c:v>183.33333333333337</c:v>
                </c:pt>
                <c:pt idx="5">
                  <c:v>266.66666666666669</c:v>
                </c:pt>
                <c:pt idx="6">
                  <c:v>350</c:v>
                </c:pt>
                <c:pt idx="7">
                  <c:v>433.33333333333337</c:v>
                </c:pt>
                <c:pt idx="8">
                  <c:v>516.66666666666674</c:v>
                </c:pt>
              </c:numCache>
            </c:numRef>
          </c:val>
        </c:ser>
        <c:marker val="1"/>
        <c:axId val="135100288"/>
        <c:axId val="135111040"/>
      </c:lineChart>
      <c:catAx>
        <c:axId val="1351002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0.35624320155856803"/>
              <c:y val="0.8845208845208846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111040"/>
        <c:crosses val="autoZero"/>
        <c:auto val="1"/>
        <c:lblAlgn val="ctr"/>
        <c:lblOffset val="100"/>
        <c:tickLblSkip val="1"/>
        <c:tickMarkSkip val="1"/>
      </c:catAx>
      <c:valAx>
        <c:axId val="1351110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Values</a:t>
                </a:r>
              </a:p>
            </c:rich>
          </c:tx>
          <c:layout>
            <c:manualLayout>
              <c:xMode val="edge"/>
              <c:yMode val="edge"/>
              <c:x val="1.8327605956471937E-2"/>
              <c:y val="0.4791154791154821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10028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561367114334073"/>
          <c:y val="0.46437346437346838"/>
          <c:w val="0.28522372847723926"/>
          <c:h val="0.2014742014742026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55" r="0.75000000000000455" t="1" header="0.5" footer="0.5"/>
    <c:pageSetup paperSize="9" orientation="landscape" horizontalDpi="0" verticalDpi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Basic Investment-Abandonment Options 
as Function of Volatility</a:t>
            </a:r>
          </a:p>
        </c:rich>
      </c:tx>
      <c:layout>
        <c:manualLayout>
          <c:xMode val="edge"/>
          <c:yMode val="edge"/>
          <c:x val="0.24835164835164836"/>
          <c:y val="3.217821782178245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79126716564477"/>
          <c:y val="0.28465346534653468"/>
          <c:w val="0.57252777973030322"/>
          <c:h val="0.49009900990099031"/>
        </c:manualLayout>
      </c:layout>
      <c:lineChart>
        <c:grouping val="standard"/>
        <c:ser>
          <c:idx val="0"/>
          <c:order val="0"/>
          <c:tx>
            <c:strRef>
              <c:f>'[7]FIG8.7'!$B$30</c:f>
              <c:strCache>
                <c:ptCount val="1"/>
                <c:pt idx="0">
                  <c:v>OPTION TO INVEST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'[7]FIG8.7'!$C$11:$K$11</c:f>
              <c:numCache>
                <c:formatCode>General</c:formatCode>
                <c:ptCount val="9"/>
                <c:pt idx="0">
                  <c:v>0.1</c:v>
                </c:pt>
                <c:pt idx="1">
                  <c:v>0.15000000000000002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0.39999999999999997</c:v>
                </c:pt>
                <c:pt idx="7">
                  <c:v>0.44999999999999996</c:v>
                </c:pt>
                <c:pt idx="8">
                  <c:v>0.49999999999999994</c:v>
                </c:pt>
              </c:numCache>
            </c:numRef>
          </c:cat>
          <c:val>
            <c:numRef>
              <c:f>'[7]FIG8.7'!$C$30:$K$30</c:f>
              <c:numCache>
                <c:formatCode>General</c:formatCode>
                <c:ptCount val="9"/>
                <c:pt idx="0">
                  <c:v>53.719975802777675</c:v>
                </c:pt>
                <c:pt idx="1">
                  <c:v>60.45404399759596</c:v>
                </c:pt>
                <c:pt idx="2">
                  <c:v>67.646831095879946</c:v>
                </c:pt>
                <c:pt idx="3">
                  <c:v>74.840439144528261</c:v>
                </c:pt>
                <c:pt idx="4">
                  <c:v>81.798923527490984</c:v>
                </c:pt>
                <c:pt idx="5">
                  <c:v>88.384243940103701</c:v>
                </c:pt>
                <c:pt idx="6">
                  <c:v>94.522068356407303</c:v>
                </c:pt>
                <c:pt idx="7">
                  <c:v>100.18035974059863</c:v>
                </c:pt>
                <c:pt idx="8">
                  <c:v>105.18735242822268</c:v>
                </c:pt>
              </c:numCache>
            </c:numRef>
          </c:val>
        </c:ser>
        <c:ser>
          <c:idx val="1"/>
          <c:order val="1"/>
          <c:tx>
            <c:strRef>
              <c:f>'[7]FIG8.7'!$B$31</c:f>
              <c:strCache>
                <c:ptCount val="1"/>
                <c:pt idx="0">
                  <c:v>OPTION TO ABANDON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'[7]FIG8.7'!$C$11:$K$11</c:f>
              <c:numCache>
                <c:formatCode>General</c:formatCode>
                <c:ptCount val="9"/>
                <c:pt idx="0">
                  <c:v>0.1</c:v>
                </c:pt>
                <c:pt idx="1">
                  <c:v>0.15000000000000002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0.39999999999999997</c:v>
                </c:pt>
                <c:pt idx="7">
                  <c:v>0.44999999999999996</c:v>
                </c:pt>
                <c:pt idx="8">
                  <c:v>0.49999999999999994</c:v>
                </c:pt>
              </c:numCache>
            </c:numRef>
          </c:cat>
          <c:val>
            <c:numRef>
              <c:f>'[7]FIG8.7'!$C$31:$K$31</c:f>
              <c:numCache>
                <c:formatCode>General</c:formatCode>
                <c:ptCount val="9"/>
                <c:pt idx="0">
                  <c:v>1.0801079241358322E-3</c:v>
                </c:pt>
                <c:pt idx="1">
                  <c:v>0.1249527284861531</c:v>
                </c:pt>
                <c:pt idx="2">
                  <c:v>0.86254339905425315</c:v>
                </c:pt>
                <c:pt idx="3">
                  <c:v>2.4382961241796473</c:v>
                </c:pt>
                <c:pt idx="4">
                  <c:v>4.6659267556049953</c:v>
                </c:pt>
                <c:pt idx="5">
                  <c:v>7.2704157613963947</c:v>
                </c:pt>
                <c:pt idx="6">
                  <c:v>10.025371919185332</c:v>
                </c:pt>
                <c:pt idx="7">
                  <c:v>12.776971156492859</c:v>
                </c:pt>
                <c:pt idx="8">
                  <c:v>15.418892567971616</c:v>
                </c:pt>
              </c:numCache>
            </c:numRef>
          </c:val>
        </c:ser>
        <c:marker val="1"/>
        <c:axId val="135255168"/>
        <c:axId val="135257472"/>
      </c:lineChart>
      <c:catAx>
        <c:axId val="1352551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 Volatility</a:t>
                </a:r>
              </a:p>
            </c:rich>
          </c:tx>
          <c:layout>
            <c:manualLayout>
              <c:xMode val="edge"/>
              <c:yMode val="edge"/>
              <c:x val="0.31208802745810632"/>
              <c:y val="0.883663366336633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257472"/>
        <c:crosses val="autoZero"/>
        <c:auto val="1"/>
        <c:lblAlgn val="ctr"/>
        <c:lblOffset val="100"/>
        <c:tickLblSkip val="1"/>
        <c:tickMarkSkip val="1"/>
      </c:catAx>
      <c:valAx>
        <c:axId val="1352574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Value</a:t>
                </a:r>
              </a:p>
            </c:rich>
          </c:tx>
          <c:layout>
            <c:manualLayout>
              <c:xMode val="edge"/>
              <c:yMode val="edge"/>
              <c:x val="1.7582417582417582E-2"/>
              <c:y val="0.4579207920792119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25516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58276369299956"/>
          <c:y val="0.46287128712871539"/>
          <c:w val="0.27362648899656788"/>
          <c:h val="0.1361386138613860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55" r="0.75000000000000455" t="1" header="0.5" footer="0.5"/>
    <c:pageSetup paperSize="9" orientation="landscape" horizontalDpi="0" verticalDpi="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Follower's Real Option Value 
and Critical Profit Level 
as Function of Investment Cost </a:t>
            </a:r>
          </a:p>
        </c:rich>
      </c:tx>
      <c:layout>
        <c:manualLayout>
          <c:xMode val="edge"/>
          <c:yMode val="edge"/>
          <c:x val="0.18083182640144671"/>
          <c:y val="3.19410319410319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457592338658696E-2"/>
          <c:y val="0.35380835380835646"/>
          <c:w val="0.68535322720638425"/>
          <c:h val="0.42260442260442282"/>
        </c:manualLayout>
      </c:layout>
      <c:lineChart>
        <c:grouping val="standard"/>
        <c:ser>
          <c:idx val="0"/>
          <c:order val="0"/>
          <c:tx>
            <c:strRef>
              <c:f>'[8]FIG9.2'!$A$19</c:f>
              <c:strCache>
                <c:ptCount val="1"/>
                <c:pt idx="0">
                  <c:v>xF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'[8]FIG9.2'!$B$9:$G$9</c:f>
              <c:numCache>
                <c:formatCode>General</c:formatCode>
                <c:ptCount val="6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</c:numCache>
            </c:numRef>
          </c:cat>
          <c:val>
            <c:numRef>
              <c:f>'[8]FIG9.2'!$B$19:$G$19</c:f>
              <c:numCache>
                <c:formatCode>General</c:formatCode>
                <c:ptCount val="6"/>
                <c:pt idx="0">
                  <c:v>0.80242221013469317</c:v>
                </c:pt>
                <c:pt idx="1">
                  <c:v>0.96290665216163163</c:v>
                </c:pt>
                <c:pt idx="2">
                  <c:v>1.1233910941885705</c:v>
                </c:pt>
                <c:pt idx="3">
                  <c:v>1.283875536215509</c:v>
                </c:pt>
                <c:pt idx="4">
                  <c:v>1.4443599782424474</c:v>
                </c:pt>
                <c:pt idx="5">
                  <c:v>1.6048444202693863</c:v>
                </c:pt>
              </c:numCache>
            </c:numRef>
          </c:val>
        </c:ser>
        <c:ser>
          <c:idx val="1"/>
          <c:order val="1"/>
          <c:tx>
            <c:strRef>
              <c:f>'[8]FIG9.2'!$A$20</c:f>
              <c:strCache>
                <c:ptCount val="1"/>
                <c:pt idx="0">
                  <c:v>ROV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'[8]FIG9.2'!$B$9:$G$9</c:f>
              <c:numCache>
                <c:formatCode>General</c:formatCode>
                <c:ptCount val="6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</c:numCache>
            </c:numRef>
          </c:cat>
          <c:val>
            <c:numRef>
              <c:f>'[8]FIG9.2'!$B$20:$G$20</c:f>
              <c:numCache>
                <c:formatCode>General</c:formatCode>
                <c:ptCount val="6"/>
                <c:pt idx="0">
                  <c:v>8.0735282293674135</c:v>
                </c:pt>
                <c:pt idx="1">
                  <c:v>4.7028606331256562</c:v>
                </c:pt>
                <c:pt idx="2">
                  <c:v>2.9780022501778456</c:v>
                </c:pt>
                <c:pt idx="3">
                  <c:v>2.0046151021185459</c:v>
                </c:pt>
                <c:pt idx="4">
                  <c:v>1.4138707940358168</c:v>
                </c:pt>
                <c:pt idx="5">
                  <c:v>1.0346176233885231</c:v>
                </c:pt>
              </c:numCache>
            </c:numRef>
          </c:val>
        </c:ser>
        <c:marker val="1"/>
        <c:axId val="134357760"/>
        <c:axId val="134359680"/>
      </c:lineChart>
      <c:catAx>
        <c:axId val="1343577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Investment Cost</a:t>
                </a:r>
              </a:p>
            </c:rich>
          </c:tx>
          <c:layout>
            <c:manualLayout>
              <c:xMode val="edge"/>
              <c:yMode val="edge"/>
              <c:x val="0.30018102167608796"/>
              <c:y val="0.8845208845208846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359680"/>
        <c:crosses val="autoZero"/>
        <c:auto val="1"/>
        <c:lblAlgn val="ctr"/>
        <c:lblOffset val="100"/>
        <c:tickLblSkip val="1"/>
        <c:tickMarkSkip val="1"/>
      </c:catAx>
      <c:valAx>
        <c:axId val="1343596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35776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001884258139191"/>
          <c:y val="0.49877149877149884"/>
          <c:w val="0.15551556055493224"/>
          <c:h val="0.1351351351351363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55" r="0.7500000000000045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Real Option Value (ROV) and Follower's Trigger as function of Volatility </a:t>
            </a:r>
          </a:p>
        </c:rich>
      </c:tx>
      <c:layout>
        <c:manualLayout>
          <c:xMode val="edge"/>
          <c:yMode val="edge"/>
          <c:x val="0.14802065404475037"/>
          <c:y val="3.23450134770893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4337349397591591E-2"/>
          <c:y val="0.29110512129380306"/>
          <c:w val="0.72633390705679868"/>
          <c:h val="0.49326145552560646"/>
        </c:manualLayout>
      </c:layout>
      <c:lineChart>
        <c:grouping val="standard"/>
        <c:ser>
          <c:idx val="0"/>
          <c:order val="0"/>
          <c:tx>
            <c:strRef>
              <c:f>'[8]FIG9.3'!$A$19</c:f>
              <c:strCache>
                <c:ptCount val="1"/>
                <c:pt idx="0">
                  <c:v>xF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'[8]FIG9.3'!$B$13:$G$13</c:f>
              <c:numCache>
                <c:formatCode>General</c:formatCode>
                <c:ptCount val="6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</c:numCache>
            </c:numRef>
          </c:cat>
          <c:val>
            <c:numRef>
              <c:f>'[8]FIG9.3'!$B$19:$G$19</c:f>
              <c:numCache>
                <c:formatCode>General</c:formatCode>
                <c:ptCount val="6"/>
                <c:pt idx="0">
                  <c:v>1.6048444202693877</c:v>
                </c:pt>
                <c:pt idx="1">
                  <c:v>2.1739858069391467</c:v>
                </c:pt>
                <c:pt idx="2">
                  <c:v>3.0328990578970174</c:v>
                </c:pt>
                <c:pt idx="3">
                  <c:v>4.4784609690826551</c:v>
                </c:pt>
                <c:pt idx="4">
                  <c:v>7.4234103810133085</c:v>
                </c:pt>
                <c:pt idx="5">
                  <c:v>16.713843876330618</c:v>
                </c:pt>
              </c:numCache>
            </c:numRef>
          </c:val>
        </c:ser>
        <c:ser>
          <c:idx val="1"/>
          <c:order val="1"/>
          <c:tx>
            <c:strRef>
              <c:f>'[8]FIG9.3'!$A$20</c:f>
              <c:strCache>
                <c:ptCount val="1"/>
                <c:pt idx="0">
                  <c:v>ROV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'[8]FIG9.3'!$B$13:$G$13</c:f>
              <c:numCache>
                <c:formatCode>General</c:formatCode>
                <c:ptCount val="6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</c:numCache>
            </c:numRef>
          </c:cat>
          <c:val>
            <c:numRef>
              <c:f>'[8]FIG9.3'!$B$20:$G$20</c:f>
              <c:numCache>
                <c:formatCode>General</c:formatCode>
                <c:ptCount val="6"/>
                <c:pt idx="0">
                  <c:v>0.51730881169425957</c:v>
                </c:pt>
                <c:pt idx="1">
                  <c:v>1.4341589344284387</c:v>
                </c:pt>
                <c:pt idx="2">
                  <c:v>2.4357161874792701</c:v>
                </c:pt>
                <c:pt idx="3">
                  <c:v>3.5239545495404423</c:v>
                </c:pt>
                <c:pt idx="4">
                  <c:v>4.7465021478374245</c:v>
                </c:pt>
                <c:pt idx="5">
                  <c:v>6.2209476284969911</c:v>
                </c:pt>
              </c:numCache>
            </c:numRef>
          </c:val>
        </c:ser>
        <c:marker val="1"/>
        <c:axId val="134429696"/>
        <c:axId val="134432256"/>
      </c:lineChart>
      <c:catAx>
        <c:axId val="134429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Expected Volatility</a:t>
                </a:r>
              </a:p>
            </c:rich>
          </c:tx>
          <c:layout>
            <c:manualLayout>
              <c:xMode val="edge"/>
              <c:yMode val="edge"/>
              <c:x val="0.32185886402754443"/>
              <c:y val="0.8814016172506788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432256"/>
        <c:crosses val="autoZero"/>
        <c:auto val="1"/>
        <c:lblAlgn val="ctr"/>
        <c:lblOffset val="100"/>
        <c:tickLblSkip val="1"/>
        <c:tickMarkSkip val="1"/>
      </c:catAx>
      <c:valAx>
        <c:axId val="1344322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42969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370051635112676"/>
          <c:y val="0.47169811320754967"/>
          <c:w val="0.13253012048192794"/>
          <c:h val="0.1320754716981131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55" r="0.7500000000000045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Sensitivity of Leader and Follower value functions
changes in market volume (Q) </a:t>
            </a:r>
          </a:p>
        </c:rich>
      </c:tx>
      <c:layout>
        <c:manualLayout>
          <c:xMode val="edge"/>
          <c:yMode val="edge"/>
          <c:x val="0.24483306836248148"/>
          <c:y val="3.78006872852238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92845786963442"/>
          <c:y val="0.26804213663195553"/>
          <c:w val="0.70906200317965029"/>
          <c:h val="0.56357577445693208"/>
        </c:manualLayout>
      </c:layout>
      <c:scatterChart>
        <c:scatterStyle val="smoothMarker"/>
        <c:ser>
          <c:idx val="0"/>
          <c:order val="0"/>
          <c:tx>
            <c:strRef>
              <c:f>[9]Figure1!$A$25</c:f>
              <c:strCache>
                <c:ptCount val="1"/>
                <c:pt idx="0">
                  <c:v>Follower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[9]Figure1!$B$12:$L$12</c:f>
              <c:numCache>
                <c:formatCode>General</c:formatCode>
                <c:ptCount val="11"/>
                <c:pt idx="0">
                  <c:v>5.0000000000000004E-6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</c:numCache>
            </c:numRef>
          </c:xVal>
          <c:yVal>
            <c:numRef>
              <c:f>[9]Figure1!$B$25:$L$25</c:f>
              <c:numCache>
                <c:formatCode>General</c:formatCode>
                <c:ptCount val="11"/>
                <c:pt idx="0">
                  <c:v>2.7882077341253345E-10</c:v>
                </c:pt>
                <c:pt idx="1">
                  <c:v>0.35628148580848801</c:v>
                </c:pt>
                <c:pt idx="2">
                  <c:v>1.020187344106138</c:v>
                </c:pt>
                <c:pt idx="3">
                  <c:v>1.8877370715464308</c:v>
                </c:pt>
                <c:pt idx="4">
                  <c:v>2.9212357602937202</c:v>
                </c:pt>
                <c:pt idx="5">
                  <c:v>4.0987484539442738</c:v>
                </c:pt>
                <c:pt idx="6">
                  <c:v>5.4054042831370994</c:v>
                </c:pt>
                <c:pt idx="7">
                  <c:v>6.8302455302210818</c:v>
                </c:pt>
                <c:pt idx="8">
                  <c:v>8.3647561563271235</c:v>
                </c:pt>
                <c:pt idx="9">
                  <c:v>10.000000000000002</c:v>
                </c:pt>
                <c:pt idx="10">
                  <c:v>11.666666666666668</c:v>
                </c:pt>
              </c:numCache>
            </c:numRef>
          </c:yVal>
        </c:ser>
        <c:ser>
          <c:idx val="1"/>
          <c:order val="1"/>
          <c:tx>
            <c:strRef>
              <c:f>[9]Figure1!$A$26</c:f>
              <c:strCache>
                <c:ptCount val="1"/>
                <c:pt idx="0">
                  <c:v>Leader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[9]Figure1!$B$12:$L$12</c:f>
              <c:numCache>
                <c:formatCode>General</c:formatCode>
                <c:ptCount val="11"/>
                <c:pt idx="0">
                  <c:v>5.0000000000000004E-6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</c:numCache>
            </c:numRef>
          </c:xVal>
          <c:yVal>
            <c:numRef>
              <c:f>[9]Figure1!$B$26:$L$26</c:f>
              <c:numCache>
                <c:formatCode>General</c:formatCode>
                <c:ptCount val="11"/>
                <c:pt idx="0">
                  <c:v>-4.9999965837565119</c:v>
                </c:pt>
                <c:pt idx="1">
                  <c:v>-2.1240776658076572</c:v>
                </c:pt>
                <c:pt idx="2">
                  <c:v>0.28494941117813966</c:v>
                </c:pt>
                <c:pt idx="3">
                  <c:v>2.3848970875542186</c:v>
                </c:pt>
                <c:pt idx="4">
                  <c:v>4.2329766094481016</c:v>
                </c:pt>
                <c:pt idx="5">
                  <c:v>5.8624796404203359</c:v>
                </c:pt>
                <c:pt idx="6">
                  <c:v>7.2959763634476644</c:v>
                </c:pt>
                <c:pt idx="7">
                  <c:v>8.5500977962863161</c:v>
                </c:pt>
                <c:pt idx="8">
                  <c:v>9.6377691116915987</c:v>
                </c:pt>
                <c:pt idx="9">
                  <c:v>10.750000000000002</c:v>
                </c:pt>
                <c:pt idx="10">
                  <c:v>12.5</c:v>
                </c:pt>
              </c:numCache>
            </c:numRef>
          </c:yVal>
        </c:ser>
        <c:axId val="134838144"/>
        <c:axId val="135598464"/>
      </c:scatterChart>
      <c:valAx>
        <c:axId val="134838144"/>
        <c:scaling>
          <c:orientation val="minMax"/>
          <c:max val="50"/>
          <c:min val="0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Market Quantity (</a:t>
                </a:r>
                <a:r>
                  <a:rPr lang="en-US" sz="900" b="1" i="1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Q</a:t>
                </a:r>
                <a:r>
                  <a:rPr lang="en-US" sz="9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36724960254372019"/>
              <c:y val="0.8728551199141394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35598464"/>
        <c:crosses val="autoZero"/>
        <c:crossBetween val="midCat"/>
        <c:majorUnit val="5"/>
      </c:valAx>
      <c:valAx>
        <c:axId val="135598464"/>
        <c:scaling>
          <c:orientation val="minMax"/>
          <c:max val="15"/>
          <c:min val="-5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Value functions</a:t>
                </a:r>
              </a:p>
            </c:rich>
          </c:tx>
          <c:layout>
            <c:manualLayout>
              <c:xMode val="edge"/>
              <c:yMode val="edge"/>
              <c:x val="2.5437201907790252E-2"/>
              <c:y val="0.3917540204381667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83814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419713831479104"/>
          <c:y val="0.47422824724229307"/>
          <c:w val="0.14308426073131991"/>
          <c:h val="0.1546395360373782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55" r="0.75000000000000455" t="1" header="0.5" footer="0.5"/>
    <c:pageSetup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endParaRPr lang="en-US"/>
          </a:p>
          <a:p>
            <a:pPr>
              <a:defRPr/>
            </a:pPr>
            <a:r>
              <a:rPr lang="en-US"/>
              <a:t>Real Value of Assets, Put &amp; Equity as function of V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[10]DELTA!$A$24</c:f>
              <c:strCache>
                <c:ptCount val="1"/>
                <c:pt idx="0">
                  <c:v>ASSETS</c:v>
                </c:pt>
              </c:strCache>
            </c:strRef>
          </c:tx>
          <c:cat>
            <c:numRef>
              <c:f>[10]DELTA!$B$4:$K$4</c:f>
              <c:numCache>
                <c:formatCode>General</c:formatCode>
                <c:ptCount val="10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  <c:pt idx="7">
                  <c:v>100</c:v>
                </c:pt>
                <c:pt idx="8">
                  <c:v>110</c:v>
                </c:pt>
                <c:pt idx="9">
                  <c:v>120</c:v>
                </c:pt>
              </c:numCache>
            </c:numRef>
          </c:cat>
          <c:val>
            <c:numRef>
              <c:f>[10]DELTA!$B$24:$K$24</c:f>
              <c:numCache>
                <c:formatCode>General</c:formatCode>
                <c:ptCount val="10"/>
                <c:pt idx="0">
                  <c:v>3.0066068672839528</c:v>
                </c:pt>
                <c:pt idx="1">
                  <c:v>42.101745605468743</c:v>
                </c:pt>
                <c:pt idx="2">
                  <c:v>62.462760416666669</c:v>
                </c:pt>
                <c:pt idx="3">
                  <c:v>77.042492525077165</c:v>
                </c:pt>
                <c:pt idx="4">
                  <c:v>89.371754282069972</c:v>
                </c:pt>
                <c:pt idx="5">
                  <c:v>100.67938486735025</c:v>
                </c:pt>
                <c:pt idx="6">
                  <c:v>111.46938050125743</c:v>
                </c:pt>
                <c:pt idx="7">
                  <c:v>121.97451171874999</c:v>
                </c:pt>
                <c:pt idx="8">
                  <c:v>132.31243054251189</c:v>
                </c:pt>
                <c:pt idx="9">
                  <c:v>142.54697823230131</c:v>
                </c:pt>
              </c:numCache>
            </c:numRef>
          </c:val>
        </c:ser>
        <c:ser>
          <c:idx val="1"/>
          <c:order val="1"/>
          <c:tx>
            <c:strRef>
              <c:f>[10]DELTA!$A$25</c:f>
              <c:strCache>
                <c:ptCount val="1"/>
                <c:pt idx="0">
                  <c:v>NOM D</c:v>
                </c:pt>
              </c:strCache>
            </c:strRef>
          </c:tx>
          <c:cat>
            <c:numRef>
              <c:f>[10]DELTA!$B$4:$K$4</c:f>
              <c:numCache>
                <c:formatCode>General</c:formatCode>
                <c:ptCount val="10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  <c:pt idx="7">
                  <c:v>100</c:v>
                </c:pt>
                <c:pt idx="8">
                  <c:v>110</c:v>
                </c:pt>
                <c:pt idx="9">
                  <c:v>120</c:v>
                </c:pt>
              </c:numCache>
            </c:numRef>
          </c:cat>
          <c:val>
            <c:numRef>
              <c:f>[10]DELTA!$B$25:$K$25</c:f>
              <c:numCache>
                <c:formatCode>General</c:formatCode>
                <c:ptCount val="10"/>
                <c:pt idx="0">
                  <c:v>66.666666666666671</c:v>
                </c:pt>
                <c:pt idx="1">
                  <c:v>66.666666666666671</c:v>
                </c:pt>
                <c:pt idx="2">
                  <c:v>66.666666666666671</c:v>
                </c:pt>
                <c:pt idx="3">
                  <c:v>66.666666666666671</c:v>
                </c:pt>
                <c:pt idx="4">
                  <c:v>66.666666666666671</c:v>
                </c:pt>
                <c:pt idx="5">
                  <c:v>66.666666666666671</c:v>
                </c:pt>
                <c:pt idx="6">
                  <c:v>66.666666666666671</c:v>
                </c:pt>
                <c:pt idx="7">
                  <c:v>66.666666666666671</c:v>
                </c:pt>
                <c:pt idx="8">
                  <c:v>66.666666666666671</c:v>
                </c:pt>
                <c:pt idx="9">
                  <c:v>66.666666666666671</c:v>
                </c:pt>
              </c:numCache>
            </c:numRef>
          </c:val>
        </c:ser>
        <c:ser>
          <c:idx val="2"/>
          <c:order val="2"/>
          <c:tx>
            <c:strRef>
              <c:f>[10]DELTA!$A$26</c:f>
              <c:strCache>
                <c:ptCount val="1"/>
                <c:pt idx="0">
                  <c:v>PUT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f>[10]DELTA!$B$4:$K$4</c:f>
              <c:numCache>
                <c:formatCode>General</c:formatCode>
                <c:ptCount val="10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  <c:pt idx="7">
                  <c:v>100</c:v>
                </c:pt>
                <c:pt idx="8">
                  <c:v>110</c:v>
                </c:pt>
                <c:pt idx="9">
                  <c:v>120</c:v>
                </c:pt>
              </c:numCache>
            </c:numRef>
          </c:cat>
          <c:val>
            <c:numRef>
              <c:f>[10]DELTA!$B$26:$K$26</c:f>
              <c:numCache>
                <c:formatCode>General</c:formatCode>
                <c:ptCount val="10"/>
                <c:pt idx="0">
                  <c:v>64.100356867283963</c:v>
                </c:pt>
                <c:pt idx="1">
                  <c:v>27.042338053385429</c:v>
                </c:pt>
                <c:pt idx="2">
                  <c:v>13.845677083333328</c:v>
                </c:pt>
                <c:pt idx="3">
                  <c:v>8.0125446084104937</c:v>
                </c:pt>
                <c:pt idx="4">
                  <c:v>5.045800686345963</c:v>
                </c:pt>
                <c:pt idx="5">
                  <c:v>3.3802922566731795</c:v>
                </c:pt>
                <c:pt idx="6">
                  <c:v>2.3740872913808886</c:v>
                </c:pt>
                <c:pt idx="7">
                  <c:v>1.7307096354166731</c:v>
                </c:pt>
                <c:pt idx="8">
                  <c:v>1.3003077651515156</c:v>
                </c:pt>
                <c:pt idx="9">
                  <c:v>1.0015680760513135</c:v>
                </c:pt>
              </c:numCache>
            </c:numRef>
          </c:val>
        </c:ser>
        <c:ser>
          <c:idx val="3"/>
          <c:order val="3"/>
          <c:tx>
            <c:strRef>
              <c:f>[10]DELTA!$A$27</c:f>
              <c:strCache>
                <c:ptCount val="1"/>
                <c:pt idx="0">
                  <c:v>EQUITY</c:v>
                </c:pt>
              </c:strCache>
            </c:strRef>
          </c:tx>
          <c:cat>
            <c:numRef>
              <c:f>[10]DELTA!$B$4:$K$4</c:f>
              <c:numCache>
                <c:formatCode>General</c:formatCode>
                <c:ptCount val="10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  <c:pt idx="7">
                  <c:v>100</c:v>
                </c:pt>
                <c:pt idx="8">
                  <c:v>110</c:v>
                </c:pt>
                <c:pt idx="9">
                  <c:v>120</c:v>
                </c:pt>
              </c:numCache>
            </c:numRef>
          </c:cat>
          <c:val>
            <c:numRef>
              <c:f>[10]DELTA!$B$27:$K$27</c:f>
              <c:numCache>
                <c:formatCode>General</c:formatCode>
                <c:ptCount val="10"/>
                <c:pt idx="0">
                  <c:v>0.44029706790123413</c:v>
                </c:pt>
                <c:pt idx="1">
                  <c:v>2.4774169921875</c:v>
                </c:pt>
                <c:pt idx="2">
                  <c:v>9.6417708333333323</c:v>
                </c:pt>
                <c:pt idx="3">
                  <c:v>18.388370466820987</c:v>
                </c:pt>
                <c:pt idx="4">
                  <c:v>27.750888301749271</c:v>
                </c:pt>
                <c:pt idx="5">
                  <c:v>37.393010457356766</c:v>
                </c:pt>
                <c:pt idx="6">
                  <c:v>47.17680112597165</c:v>
                </c:pt>
                <c:pt idx="7">
                  <c:v>57.038554687499996</c:v>
                </c:pt>
                <c:pt idx="8">
                  <c:v>66.946071640996735</c:v>
                </c:pt>
                <c:pt idx="9">
                  <c:v>76.881879641685956</c:v>
                </c:pt>
              </c:numCache>
            </c:numRef>
          </c:val>
        </c:ser>
        <c:marker val="1"/>
        <c:axId val="135760896"/>
        <c:axId val="135767168"/>
      </c:lineChart>
      <c:catAx>
        <c:axId val="135760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</a:t>
                </a:r>
              </a:p>
            </c:rich>
          </c:tx>
        </c:title>
        <c:numFmt formatCode="General" sourceLinked="1"/>
        <c:tickLblPos val="nextTo"/>
        <c:crossAx val="135767168"/>
        <c:crosses val="autoZero"/>
        <c:auto val="1"/>
        <c:lblAlgn val="ctr"/>
        <c:lblOffset val="100"/>
      </c:catAx>
      <c:valAx>
        <c:axId val="135767168"/>
        <c:scaling>
          <c:orientation val="minMax"/>
        </c:scaling>
        <c:axPos val="l"/>
        <c:majorGridlines/>
        <c:numFmt formatCode="General" sourceLinked="1"/>
        <c:tickLblPos val="nextTo"/>
        <c:crossAx val="135760896"/>
        <c:crosses val="autoZero"/>
        <c:crossBetween val="midCat"/>
      </c:valAx>
    </c:plotArea>
    <c:legend>
      <c:legendPos val="r"/>
    </c:legend>
    <c:plotVisOnly val="1"/>
  </c:chart>
  <c:txPr>
    <a:bodyPr/>
    <a:lstStyle/>
    <a:p>
      <a:pPr>
        <a:defRPr b="1"/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SENSITIVITY of ALTERNATIVE OUTPUT SPREAD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THAT JUSTIFIES SWITCHING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TO FIRST OUTPUT VOLATILITY CHANGES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[12]VOLATILITY!$B$42</c:f>
              <c:strCache>
                <c:ptCount val="1"/>
                <c:pt idx="0">
                  <c:v>SPREAD y12-y21</c:v>
                </c:pt>
              </c:strCache>
            </c:strRef>
          </c:tx>
          <c:cat>
            <c:numRef>
              <c:f>[12]VOLATILITY!$C$7:$H$7</c:f>
              <c:numCache>
                <c:formatCode>General</c:formatCode>
                <c:ptCount val="6"/>
                <c:pt idx="0">
                  <c:v>0.2</c:v>
                </c:pt>
                <c:pt idx="1">
                  <c:v>0.25</c:v>
                </c:pt>
                <c:pt idx="2">
                  <c:v>0.3</c:v>
                </c:pt>
                <c:pt idx="3">
                  <c:v>0.35</c:v>
                </c:pt>
                <c:pt idx="4">
                  <c:v>0.39999999999999997</c:v>
                </c:pt>
                <c:pt idx="5">
                  <c:v>0.44999999999999996</c:v>
                </c:pt>
              </c:numCache>
            </c:numRef>
          </c:cat>
          <c:val>
            <c:numRef>
              <c:f>[12]VOLATILITY!$C$42:$H$42</c:f>
              <c:numCache>
                <c:formatCode>General</c:formatCode>
                <c:ptCount val="6"/>
                <c:pt idx="0">
                  <c:v>84.771570954692294</c:v>
                </c:pt>
                <c:pt idx="1">
                  <c:v>86.51244116256656</c:v>
                </c:pt>
                <c:pt idx="2">
                  <c:v>89.400917180780908</c:v>
                </c:pt>
                <c:pt idx="3">
                  <c:v>93.028607468719855</c:v>
                </c:pt>
                <c:pt idx="4">
                  <c:v>97.035670889165544</c:v>
                </c:pt>
                <c:pt idx="5">
                  <c:v>101.14482664785257</c:v>
                </c:pt>
              </c:numCache>
            </c:numRef>
          </c:val>
        </c:ser>
        <c:marker val="1"/>
        <c:axId val="136197248"/>
        <c:axId val="136199168"/>
      </c:lineChart>
      <c:catAx>
        <c:axId val="1361972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X OUTPUT VOLATILITY</a:t>
                </a:r>
              </a:p>
            </c:rich>
          </c:tx>
        </c:title>
        <c:numFmt formatCode="#,##0.0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6199168"/>
        <c:crosses val="autoZero"/>
        <c:auto val="1"/>
        <c:lblAlgn val="ctr"/>
        <c:lblOffset val="100"/>
      </c:catAx>
      <c:valAx>
        <c:axId val="136199168"/>
        <c:scaling>
          <c:orientation val="minMax"/>
          <c:min val="80"/>
        </c:scaling>
        <c:axPos val="l"/>
        <c:majorGridlines/>
        <c:numFmt formatCode="#,##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6197248"/>
        <c:crosses val="autoZero"/>
        <c:crossBetween val="midCat"/>
      </c:valAx>
    </c:plotArea>
    <c:legend>
      <c:legendPos val="r"/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SENSITIVITY OF ALTERNATIVE INPUT SPREAD y</a:t>
            </a:r>
            <a:r>
              <a:rPr lang="en-US" sz="1400" b="1" i="0" u="none" strike="noStrike" baseline="-25000">
                <a:solidFill>
                  <a:srgbClr val="000000"/>
                </a:solidFill>
                <a:latin typeface="Calibri"/>
                <a:cs typeface="Calibri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-y</a:t>
            </a:r>
            <a:r>
              <a:rPr lang="en-US" sz="1400" b="1" i="0" u="none" strike="noStrike" baseline="-25000">
                <a:solidFill>
                  <a:srgbClr val="000000"/>
                </a:solidFill>
                <a:latin typeface="Calibri"/>
                <a:cs typeface="Calibri"/>
              </a:rPr>
              <a:t>21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THAT JUSTIFIES SWITCHING TO SHUT DOWN, OR OPERATING,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TO OUTPUT VOLATILITY CHANGES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[13]VOLATILITY!$B$45</c:f>
              <c:strCache>
                <c:ptCount val="1"/>
                <c:pt idx="0">
                  <c:v>SPREAD y12-y21</c:v>
                </c:pt>
              </c:strCache>
            </c:strRef>
          </c:tx>
          <c:cat>
            <c:numRef>
              <c:f>[13]VOLATILITY!$C$7:$H$7</c:f>
              <c:numCache>
                <c:formatCode>General</c:formatCode>
                <c:ptCount val="6"/>
                <c:pt idx="0">
                  <c:v>0.2</c:v>
                </c:pt>
                <c:pt idx="1">
                  <c:v>0.25</c:v>
                </c:pt>
                <c:pt idx="2">
                  <c:v>0.3</c:v>
                </c:pt>
                <c:pt idx="3">
                  <c:v>0.35</c:v>
                </c:pt>
                <c:pt idx="4">
                  <c:v>0.39999999999999997</c:v>
                </c:pt>
                <c:pt idx="5">
                  <c:v>0.44999999999999996</c:v>
                </c:pt>
              </c:numCache>
            </c:numRef>
          </c:cat>
          <c:val>
            <c:numRef>
              <c:f>[13]VOLATILITY!$C$45:$H$45</c:f>
              <c:numCache>
                <c:formatCode>General</c:formatCode>
                <c:ptCount val="6"/>
                <c:pt idx="0">
                  <c:v>84.771570943363031</c:v>
                </c:pt>
                <c:pt idx="1">
                  <c:v>86.512441162565921</c:v>
                </c:pt>
                <c:pt idx="2">
                  <c:v>89.400917180781818</c:v>
                </c:pt>
                <c:pt idx="3">
                  <c:v>93.028607475985027</c:v>
                </c:pt>
                <c:pt idx="4">
                  <c:v>97.035670889165004</c:v>
                </c:pt>
                <c:pt idx="5">
                  <c:v>101.14482664785261</c:v>
                </c:pt>
              </c:numCache>
            </c:numRef>
          </c:val>
        </c:ser>
        <c:marker val="1"/>
        <c:axId val="136215552"/>
        <c:axId val="136291456"/>
      </c:lineChart>
      <c:catAx>
        <c:axId val="136215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X OUTPUT VOLATILITY</a:t>
                </a:r>
              </a:p>
            </c:rich>
          </c:tx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6291456"/>
        <c:crosses val="autoZero"/>
        <c:auto val="1"/>
        <c:lblAlgn val="ctr"/>
        <c:lblOffset val="100"/>
      </c:catAx>
      <c:valAx>
        <c:axId val="136291456"/>
        <c:scaling>
          <c:orientation val="minMax"/>
          <c:min val="80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6215552"/>
        <c:crosses val="autoZero"/>
        <c:crossBetween val="midCat"/>
      </c:valAx>
    </c:plotArea>
    <c:legend>
      <c:legendPos val="r"/>
      <c:txPr>
        <a:bodyPr/>
        <a:lstStyle/>
        <a:p>
          <a:pPr>
            <a:defRPr sz="5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baseline="0"/>
              <a:t> Alternative Input </a:t>
            </a:r>
            <a:r>
              <a:rPr lang="en-US"/>
              <a:t>SPREAD that justifies Switching as a</a:t>
            </a:r>
            <a:r>
              <a:rPr lang="en-US" baseline="0"/>
              <a:t> function of </a:t>
            </a:r>
            <a:r>
              <a:rPr lang="en-US"/>
              <a:t>First INPUT Volatility 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'[14]new INPUT Volatility'!$B$43</c:f>
              <c:strCache>
                <c:ptCount val="1"/>
                <c:pt idx="0">
                  <c:v>SPREAD y12-y21</c:v>
                </c:pt>
              </c:strCache>
            </c:strRef>
          </c:tx>
          <c:cat>
            <c:numRef>
              <c:f>'[14]new INPUT Volatility'!$C$7:$H$7</c:f>
              <c:numCache>
                <c:formatCode>General</c:formatCode>
                <c:ptCount val="6"/>
                <c:pt idx="0">
                  <c:v>0.2</c:v>
                </c:pt>
                <c:pt idx="1">
                  <c:v>0.25</c:v>
                </c:pt>
                <c:pt idx="2">
                  <c:v>0.3</c:v>
                </c:pt>
                <c:pt idx="3">
                  <c:v>0.35</c:v>
                </c:pt>
                <c:pt idx="4">
                  <c:v>0.39999999999999997</c:v>
                </c:pt>
                <c:pt idx="5">
                  <c:v>0.44999999999999996</c:v>
                </c:pt>
              </c:numCache>
            </c:numRef>
          </c:cat>
          <c:val>
            <c:numRef>
              <c:f>'[14]new INPUT Volatility'!$C$43:$H$43</c:f>
              <c:numCache>
                <c:formatCode>General</c:formatCode>
                <c:ptCount val="6"/>
                <c:pt idx="0">
                  <c:v>56.085749362401558</c:v>
                </c:pt>
                <c:pt idx="1">
                  <c:v>56.900199739516943</c:v>
                </c:pt>
                <c:pt idx="2">
                  <c:v>58.355221437152736</c:v>
                </c:pt>
                <c:pt idx="3">
                  <c:v>60.195787603827711</c:v>
                </c:pt>
                <c:pt idx="4">
                  <c:v>62.197847485890804</c:v>
                </c:pt>
                <c:pt idx="5">
                  <c:v>64.187091541309726</c:v>
                </c:pt>
              </c:numCache>
            </c:numRef>
          </c:val>
        </c:ser>
        <c:marker val="1"/>
        <c:axId val="135512064"/>
        <c:axId val="135513984"/>
      </c:lineChart>
      <c:catAx>
        <c:axId val="135512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First</a:t>
                </a:r>
                <a:r>
                  <a:rPr lang="en-US" baseline="0"/>
                  <a:t> INPUT Volatility</a:t>
                </a:r>
                <a:endParaRPr lang="en-US"/>
              </a:p>
            </c:rich>
          </c:tx>
        </c:title>
        <c:numFmt formatCode="General" sourceLinked="1"/>
        <c:tickLblPos val="nextTo"/>
        <c:crossAx val="135513984"/>
        <c:crosses val="autoZero"/>
        <c:auto val="1"/>
        <c:lblAlgn val="ctr"/>
        <c:lblOffset val="100"/>
      </c:catAx>
      <c:valAx>
        <c:axId val="135513984"/>
        <c:scaling>
          <c:orientation val="minMax"/>
          <c:max val="65"/>
          <c:min val="56"/>
        </c:scaling>
        <c:axPos val="l"/>
        <c:majorGridlines/>
        <c:numFmt formatCode="0" sourceLinked="0"/>
        <c:tickLblPos val="nextTo"/>
        <c:crossAx val="135512064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19050</xdr:rowOff>
    </xdr:from>
    <xdr:to>
      <xdr:col>13</xdr:col>
      <xdr:colOff>371475</xdr:colOff>
      <xdr:row>22</xdr:row>
      <xdr:rowOff>142875</xdr:rowOff>
    </xdr:to>
    <xdr:graphicFrame macro="">
      <xdr:nvGraphicFramePr>
        <xdr:cNvPr id="133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19050</xdr:rowOff>
    </xdr:from>
    <xdr:to>
      <xdr:col>13</xdr:col>
      <xdr:colOff>466725</xdr:colOff>
      <xdr:row>30</xdr:row>
      <xdr:rowOff>152400</xdr:rowOff>
    </xdr:to>
    <xdr:graphicFrame macro="">
      <xdr:nvGraphicFramePr>
        <xdr:cNvPr id="143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12</xdr:row>
      <xdr:rowOff>9525</xdr:rowOff>
    </xdr:from>
    <xdr:to>
      <xdr:col>14</xdr:col>
      <xdr:colOff>0</xdr:colOff>
      <xdr:row>30</xdr:row>
      <xdr:rowOff>142875</xdr:rowOff>
    </xdr:to>
    <xdr:graphicFrame macro="">
      <xdr:nvGraphicFramePr>
        <xdr:cNvPr id="153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</xdr:row>
      <xdr:rowOff>9525</xdr:rowOff>
    </xdr:from>
    <xdr:to>
      <xdr:col>13</xdr:col>
      <xdr:colOff>447675</xdr:colOff>
      <xdr:row>32</xdr:row>
      <xdr:rowOff>19050</xdr:rowOff>
    </xdr:to>
    <xdr:graphicFrame macro="">
      <xdr:nvGraphicFramePr>
        <xdr:cNvPr id="163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10</xdr:row>
      <xdr:rowOff>152400</xdr:rowOff>
    </xdr:from>
    <xdr:to>
      <xdr:col>13</xdr:col>
      <xdr:colOff>361950</xdr:colOff>
      <xdr:row>31</xdr:row>
      <xdr:rowOff>152400</xdr:rowOff>
    </xdr:to>
    <xdr:graphicFrame macro="">
      <xdr:nvGraphicFramePr>
        <xdr:cNvPr id="174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19050</xdr:rowOff>
    </xdr:from>
    <xdr:to>
      <xdr:col>14</xdr:col>
      <xdr:colOff>0</xdr:colOff>
      <xdr:row>31</xdr:row>
      <xdr:rowOff>142875</xdr:rowOff>
    </xdr:to>
    <xdr:graphicFrame macro="">
      <xdr:nvGraphicFramePr>
        <xdr:cNvPr id="184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10</xdr:row>
      <xdr:rowOff>152400</xdr:rowOff>
    </xdr:from>
    <xdr:to>
      <xdr:col>14</xdr:col>
      <xdr:colOff>9525</xdr:colOff>
      <xdr:row>30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10</xdr:row>
      <xdr:rowOff>9524</xdr:rowOff>
    </xdr:from>
    <xdr:to>
      <xdr:col>14</xdr:col>
      <xdr:colOff>0</xdr:colOff>
      <xdr:row>30</xdr:row>
      <xdr:rowOff>152399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11</xdr:row>
      <xdr:rowOff>9525</xdr:rowOff>
    </xdr:from>
    <xdr:to>
      <xdr:col>13</xdr:col>
      <xdr:colOff>361950</xdr:colOff>
      <xdr:row>30</xdr:row>
      <xdr:rowOff>152400</xdr:rowOff>
    </xdr:to>
    <xdr:graphicFrame macro="">
      <xdr:nvGraphicFramePr>
        <xdr:cNvPr id="215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15</xdr:row>
      <xdr:rowOff>9525</xdr:rowOff>
    </xdr:from>
    <xdr:to>
      <xdr:col>13</xdr:col>
      <xdr:colOff>600075</xdr:colOff>
      <xdr:row>39</xdr:row>
      <xdr:rowOff>0</xdr:rowOff>
    </xdr:to>
    <xdr:graphicFrame macro="">
      <xdr:nvGraphicFramePr>
        <xdr:cNvPr id="2253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161924</xdr:rowOff>
    </xdr:from>
    <xdr:to>
      <xdr:col>13</xdr:col>
      <xdr:colOff>371475</xdr:colOff>
      <xdr:row>32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19050</xdr:rowOff>
    </xdr:from>
    <xdr:to>
      <xdr:col>14</xdr:col>
      <xdr:colOff>0</xdr:colOff>
      <xdr:row>35</xdr:row>
      <xdr:rowOff>152399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19050</xdr:rowOff>
    </xdr:from>
    <xdr:to>
      <xdr:col>26</xdr:col>
      <xdr:colOff>0</xdr:colOff>
      <xdr:row>41</xdr:row>
      <xdr:rowOff>142875</xdr:rowOff>
    </xdr:to>
    <xdr:graphicFrame macro="">
      <xdr:nvGraphicFramePr>
        <xdr:cNvPr id="440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38100</xdr:rowOff>
    </xdr:from>
    <xdr:to>
      <xdr:col>10</xdr:col>
      <xdr:colOff>19050</xdr:colOff>
      <xdr:row>39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17</xdr:row>
      <xdr:rowOff>19049</xdr:rowOff>
    </xdr:from>
    <xdr:to>
      <xdr:col>9</xdr:col>
      <xdr:colOff>552449</xdr:colOff>
      <xdr:row>34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21</xdr:row>
      <xdr:rowOff>142875</xdr:rowOff>
    </xdr:from>
    <xdr:to>
      <xdr:col>9</xdr:col>
      <xdr:colOff>600075</xdr:colOff>
      <xdr:row>48</xdr:row>
      <xdr:rowOff>28575</xdr:rowOff>
    </xdr:to>
    <xdr:graphicFrame macro="">
      <xdr:nvGraphicFramePr>
        <xdr:cNvPr id="266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23</xdr:row>
      <xdr:rowOff>9525</xdr:rowOff>
    </xdr:from>
    <xdr:to>
      <xdr:col>11</xdr:col>
      <xdr:colOff>9525</xdr:colOff>
      <xdr:row>45</xdr:row>
      <xdr:rowOff>152399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28574</xdr:rowOff>
    </xdr:from>
    <xdr:to>
      <xdr:col>12</xdr:col>
      <xdr:colOff>561974</xdr:colOff>
      <xdr:row>39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20</xdr:row>
      <xdr:rowOff>9525</xdr:rowOff>
    </xdr:from>
    <xdr:to>
      <xdr:col>7</xdr:col>
      <xdr:colOff>19050</xdr:colOff>
      <xdr:row>42</xdr:row>
      <xdr:rowOff>152400</xdr:rowOff>
    </xdr:to>
    <xdr:graphicFrame macro="">
      <xdr:nvGraphicFramePr>
        <xdr:cNvPr id="286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20</xdr:row>
      <xdr:rowOff>0</xdr:rowOff>
    </xdr:from>
    <xdr:to>
      <xdr:col>9</xdr:col>
      <xdr:colOff>581025</xdr:colOff>
      <xdr:row>39</xdr:row>
      <xdr:rowOff>57150</xdr:rowOff>
    </xdr:to>
    <xdr:graphicFrame macro="">
      <xdr:nvGraphicFramePr>
        <xdr:cNvPr id="276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16</xdr:row>
      <xdr:rowOff>0</xdr:rowOff>
    </xdr:from>
    <xdr:to>
      <xdr:col>10</xdr:col>
      <xdr:colOff>9525</xdr:colOff>
      <xdr:row>40</xdr:row>
      <xdr:rowOff>152400</xdr:rowOff>
    </xdr:to>
    <xdr:graphicFrame macro="">
      <xdr:nvGraphicFramePr>
        <xdr:cNvPr id="297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1419225</xdr:colOff>
      <xdr:row>8</xdr:row>
      <xdr:rowOff>9525</xdr:rowOff>
    </xdr:from>
    <xdr:to>
      <xdr:col>8</xdr:col>
      <xdr:colOff>171450</xdr:colOff>
      <xdr:row>31</xdr:row>
      <xdr:rowOff>123825</xdr:rowOff>
    </xdr:to>
    <xdr:graphicFrame macro="">
      <xdr:nvGraphicFramePr>
        <xdr:cNvPr id="122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20</xdr:row>
      <xdr:rowOff>142875</xdr:rowOff>
    </xdr:from>
    <xdr:to>
      <xdr:col>18</xdr:col>
      <xdr:colOff>600075</xdr:colOff>
      <xdr:row>36</xdr:row>
      <xdr:rowOff>142875</xdr:rowOff>
    </xdr:to>
    <xdr:graphicFrame macro="">
      <xdr:nvGraphicFramePr>
        <xdr:cNvPr id="307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72</xdr:row>
      <xdr:rowOff>9525</xdr:rowOff>
    </xdr:from>
    <xdr:to>
      <xdr:col>18</xdr:col>
      <xdr:colOff>600075</xdr:colOff>
      <xdr:row>87</xdr:row>
      <xdr:rowOff>171450</xdr:rowOff>
    </xdr:to>
    <xdr:graphicFrame macro="">
      <xdr:nvGraphicFramePr>
        <xdr:cNvPr id="3075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38100</xdr:colOff>
      <xdr:row>37</xdr:row>
      <xdr:rowOff>114299</xdr:rowOff>
    </xdr:from>
    <xdr:to>
      <xdr:col>18</xdr:col>
      <xdr:colOff>600074</xdr:colOff>
      <xdr:row>53</xdr:row>
      <xdr:rowOff>142874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28575</xdr:colOff>
      <xdr:row>3</xdr:row>
      <xdr:rowOff>57150</xdr:rowOff>
    </xdr:from>
    <xdr:to>
      <xdr:col>18</xdr:col>
      <xdr:colOff>561975</xdr:colOff>
      <xdr:row>19</xdr:row>
      <xdr:rowOff>161924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9524</xdr:colOff>
      <xdr:row>55</xdr:row>
      <xdr:rowOff>38101</xdr:rowOff>
    </xdr:from>
    <xdr:to>
      <xdr:col>18</xdr:col>
      <xdr:colOff>590549</xdr:colOff>
      <xdr:row>70</xdr:row>
      <xdr:rowOff>123826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19050</xdr:rowOff>
    </xdr:from>
    <xdr:to>
      <xdr:col>9</xdr:col>
      <xdr:colOff>666750</xdr:colOff>
      <xdr:row>40</xdr:row>
      <xdr:rowOff>0</xdr:rowOff>
    </xdr:to>
    <xdr:graphicFrame macro="">
      <xdr:nvGraphicFramePr>
        <xdr:cNvPr id="317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33</xdr:row>
      <xdr:rowOff>9525</xdr:rowOff>
    </xdr:from>
    <xdr:to>
      <xdr:col>11</xdr:col>
      <xdr:colOff>0</xdr:colOff>
      <xdr:row>56</xdr:row>
      <xdr:rowOff>142875</xdr:rowOff>
    </xdr:to>
    <xdr:graphicFrame macro="">
      <xdr:nvGraphicFramePr>
        <xdr:cNvPr id="327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30</xdr:row>
      <xdr:rowOff>9525</xdr:rowOff>
    </xdr:from>
    <xdr:to>
      <xdr:col>10</xdr:col>
      <xdr:colOff>619125</xdr:colOff>
      <xdr:row>53</xdr:row>
      <xdr:rowOff>133350</xdr:rowOff>
    </xdr:to>
    <xdr:graphicFrame macro="">
      <xdr:nvGraphicFramePr>
        <xdr:cNvPr id="337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19</xdr:row>
      <xdr:rowOff>133350</xdr:rowOff>
    </xdr:from>
    <xdr:to>
      <xdr:col>8</xdr:col>
      <xdr:colOff>447675</xdr:colOff>
      <xdr:row>43</xdr:row>
      <xdr:rowOff>123825</xdr:rowOff>
    </xdr:to>
    <xdr:graphicFrame macro="">
      <xdr:nvGraphicFramePr>
        <xdr:cNvPr id="368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20</xdr:row>
      <xdr:rowOff>0</xdr:rowOff>
    </xdr:from>
    <xdr:to>
      <xdr:col>9</xdr:col>
      <xdr:colOff>57150</xdr:colOff>
      <xdr:row>41</xdr:row>
      <xdr:rowOff>133350</xdr:rowOff>
    </xdr:to>
    <xdr:graphicFrame macro="">
      <xdr:nvGraphicFramePr>
        <xdr:cNvPr id="378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26</xdr:row>
      <xdr:rowOff>19050</xdr:rowOff>
    </xdr:from>
    <xdr:to>
      <xdr:col>11</xdr:col>
      <xdr:colOff>457200</xdr:colOff>
      <xdr:row>43</xdr:row>
      <xdr:rowOff>38100</xdr:rowOff>
    </xdr:to>
    <xdr:graphicFrame macro="">
      <xdr:nvGraphicFramePr>
        <xdr:cNvPr id="358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38</xdr:row>
      <xdr:rowOff>9525</xdr:rowOff>
    </xdr:from>
    <xdr:to>
      <xdr:col>11</xdr:col>
      <xdr:colOff>1</xdr:colOff>
      <xdr:row>61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42</xdr:row>
      <xdr:rowOff>9525</xdr:rowOff>
    </xdr:from>
    <xdr:to>
      <xdr:col>7</xdr:col>
      <xdr:colOff>600075</xdr:colOff>
      <xdr:row>71</xdr:row>
      <xdr:rowOff>19050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46</xdr:row>
      <xdr:rowOff>180975</xdr:rowOff>
    </xdr:from>
    <xdr:to>
      <xdr:col>8</xdr:col>
      <xdr:colOff>0</xdr:colOff>
      <xdr:row>74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42</xdr:row>
      <xdr:rowOff>171450</xdr:rowOff>
    </xdr:from>
    <xdr:to>
      <xdr:col>8</xdr:col>
      <xdr:colOff>0</xdr:colOff>
      <xdr:row>62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CF00/Real_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RCF02/RCF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Real%20Value/REAL%20VALUE%20EXCEL%201_06_EXERCISES_PROBLEM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Real%20Value/CH3_RO_PAYOFFS_10_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Real%20Value/Berksund_Eker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Real%20Value/CH8_REAL_SCALE_SIMP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Real%20Value/CH8_SCALE_JREFE_21_2_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Real%20Value/CH9_PREEMPT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Real%20Value/CH9_Semi-Competitiv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axson21/Documents/Real%20Debt/Leland9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axson21/Documents/ResearchOCT-DEC2011/EFM_DP_STOCHASTIC_SEPT2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axson/Documents/ROV_CASES/OUTPUT_SwitchFEB20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axson21/Documents/RealOptions11/ROV_SWITCH_FEB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axson21/Documents/ROV_SWITCH_FEB201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axson21/Documents/RealOptions14/CH7_SEQUENTIAL%20FEB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RRIER"/>
      <sheetName val="APPROX_AMER_CALL"/>
    </sheetNames>
    <sheetDataSet>
      <sheetData sheetId="0">
        <row r="5">
          <cell r="B5">
            <v>110</v>
          </cell>
          <cell r="C5">
            <v>110</v>
          </cell>
          <cell r="D5">
            <v>110</v>
          </cell>
          <cell r="E5">
            <v>110</v>
          </cell>
          <cell r="F5">
            <v>110</v>
          </cell>
          <cell r="G5">
            <v>110</v>
          </cell>
          <cell r="H5">
            <v>110</v>
          </cell>
        </row>
        <row r="6">
          <cell r="B6">
            <v>100</v>
          </cell>
          <cell r="C6">
            <v>100</v>
          </cell>
          <cell r="D6">
            <v>100</v>
          </cell>
          <cell r="E6">
            <v>100</v>
          </cell>
          <cell r="F6">
            <v>100</v>
          </cell>
          <cell r="G6">
            <v>100</v>
          </cell>
          <cell r="H6">
            <v>100</v>
          </cell>
        </row>
        <row r="7">
          <cell r="B7">
            <v>0.5</v>
          </cell>
          <cell r="C7">
            <v>0.5</v>
          </cell>
          <cell r="D7">
            <v>0.5</v>
          </cell>
          <cell r="E7">
            <v>0.5</v>
          </cell>
          <cell r="F7">
            <v>0.5</v>
          </cell>
          <cell r="G7">
            <v>0.5</v>
          </cell>
          <cell r="H7">
            <v>0.5</v>
          </cell>
        </row>
        <row r="8">
          <cell r="B8">
            <v>0.1</v>
          </cell>
          <cell r="C8">
            <v>0.1</v>
          </cell>
          <cell r="D8">
            <v>0.1</v>
          </cell>
          <cell r="E8">
            <v>0.1</v>
          </cell>
          <cell r="F8">
            <v>0.1</v>
          </cell>
          <cell r="G8">
            <v>0.1</v>
          </cell>
          <cell r="H8">
            <v>0.1</v>
          </cell>
        </row>
        <row r="9">
          <cell r="B9">
            <v>0.3</v>
          </cell>
          <cell r="C9">
            <v>0.3</v>
          </cell>
          <cell r="D9">
            <v>0.3</v>
          </cell>
          <cell r="E9">
            <v>0.3</v>
          </cell>
          <cell r="F9">
            <v>0.3</v>
          </cell>
          <cell r="G9">
            <v>0.3</v>
          </cell>
          <cell r="H9">
            <v>0.3</v>
          </cell>
        </row>
        <row r="10">
          <cell r="B10">
            <v>18.046947299962582</v>
          </cell>
          <cell r="C10">
            <v>18.046947299962582</v>
          </cell>
          <cell r="D10">
            <v>18.046947299962582</v>
          </cell>
          <cell r="E10">
            <v>18.046947299962582</v>
          </cell>
          <cell r="F10">
            <v>18.046947299962582</v>
          </cell>
          <cell r="G10">
            <v>18.046947299962582</v>
          </cell>
          <cell r="H10">
            <v>18.046947299962582</v>
          </cell>
        </row>
        <row r="13">
          <cell r="B13">
            <v>6.8144210607164191E-4</v>
          </cell>
          <cell r="C13">
            <v>1.0261741445188099E-2</v>
          </cell>
          <cell r="D13">
            <v>7.6886033707199264E-2</v>
          </cell>
          <cell r="E13">
            <v>0.36481618846633967</v>
          </cell>
          <cell r="F13">
            <v>1.229036620381649</v>
          </cell>
          <cell r="G13">
            <v>3.1704812902501942</v>
          </cell>
          <cell r="H13">
            <v>6.6304345586769244</v>
          </cell>
        </row>
        <row r="14">
          <cell r="B14">
            <v>18.046265857856511</v>
          </cell>
          <cell r="C14">
            <v>18.036685558517394</v>
          </cell>
          <cell r="D14">
            <v>17.970061266255382</v>
          </cell>
          <cell r="E14">
            <v>17.682131111496243</v>
          </cell>
          <cell r="F14">
            <v>16.817910679580933</v>
          </cell>
          <cell r="G14">
            <v>14.876466009712388</v>
          </cell>
          <cell r="H14">
            <v>11.416512741285658</v>
          </cell>
        </row>
        <row r="18">
          <cell r="B18">
            <v>0.78554696959090908</v>
          </cell>
          <cell r="C18">
            <v>0.78554696959090908</v>
          </cell>
          <cell r="D18">
            <v>0.78554696959090908</v>
          </cell>
          <cell r="E18">
            <v>0.78554696959090908</v>
          </cell>
          <cell r="F18">
            <v>0.78554696959090908</v>
          </cell>
          <cell r="G18">
            <v>0.78554696959090908</v>
          </cell>
          <cell r="H18">
            <v>0.78554696959090908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CF02_GUIDE"/>
      <sheetName val="HOWELL_Fig2.2"/>
      <sheetName val="GROWTH"/>
      <sheetName val="ONE_STEP"/>
      <sheetName val="SIX_STEP"/>
      <sheetName val="LEASIMO"/>
      <sheetName val="CONSTROI"/>
      <sheetName val="SAMUELSON_MCKEAN"/>
      <sheetName val="CANARYWHARF"/>
      <sheetName val="CW_MODEL"/>
      <sheetName val="FOOT_MERCHANDISE"/>
      <sheetName val="STADIUM_USAGE"/>
      <sheetName val="STADIUM_LEASE"/>
      <sheetName val="PETRO_ROV"/>
      <sheetName val="SGT_POWER_ROV"/>
      <sheetName val="CCGT_POWEREXCH_ROV"/>
    </sheetNames>
    <sheetDataSet>
      <sheetData sheetId="0"/>
      <sheetData sheetId="1"/>
      <sheetData sheetId="2">
        <row r="6">
          <cell r="B6">
            <v>20000</v>
          </cell>
        </row>
        <row r="13">
          <cell r="B13">
            <v>60000</v>
          </cell>
        </row>
        <row r="14">
          <cell r="B14">
            <v>2</v>
          </cell>
        </row>
        <row r="15">
          <cell r="B15">
            <v>0.15</v>
          </cell>
        </row>
        <row r="22">
          <cell r="B22">
            <v>0.66297760844208942</v>
          </cell>
        </row>
        <row r="23">
          <cell r="B23">
            <v>0.17802976954183658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UIDE_REAL VALUE EXERCISES"/>
      <sheetName val="BINOMIAL_CALL"/>
      <sheetName val="BINOMIAL_PUT"/>
      <sheetName val="BINOMIAL_CALL_PUT"/>
      <sheetName val="CALLl_TIME"/>
      <sheetName val="CALL_VOLATILITY"/>
      <sheetName val="BLACK_SCHOLES"/>
      <sheetName val="DEFERRAL"/>
      <sheetName val="GROWTH"/>
      <sheetName val="EXCHANGE"/>
      <sheetName val="HEDGING1"/>
      <sheetName val="STRATEGY1"/>
      <sheetName val="STRATEGY2"/>
      <sheetName val="STRATEGY3"/>
      <sheetName val="STRATEGY4"/>
      <sheetName val="STRATEGY5"/>
      <sheetName val="SHARING"/>
      <sheetName val="SAMUELSON1"/>
      <sheetName val="SAMUELSON2"/>
      <sheetName val="VOLATILITY"/>
      <sheetName val="DELTA, GAMMA"/>
      <sheetName val="AMER_PERP"/>
      <sheetName val="HEDGING"/>
      <sheetName val="AM_PERP_MF"/>
      <sheetName val="AM_PERP_MF_Q"/>
      <sheetName val="AM_PERP_MF_CORR"/>
      <sheetName val="AM_PERP_EXCH"/>
      <sheetName val="AM_PERP_EXCH_CORR"/>
      <sheetName val="MARSHALL_INVEST"/>
      <sheetName val="MARSHALL_SENSE"/>
      <sheetName val="ENTRY_EXIT"/>
      <sheetName val="ComOption1"/>
      <sheetName val="ComOption2"/>
      <sheetName val="ComOption3"/>
      <sheetName val="Exercise 2.1"/>
      <sheetName val="Exercise 2.2"/>
      <sheetName val="Exercise 2.3"/>
      <sheetName val="Problem 2.4"/>
      <sheetName val="Problem 2.5"/>
      <sheetName val="Problem 2.6"/>
      <sheetName val="Exercise 3.1"/>
      <sheetName val="Exercise 3.2"/>
      <sheetName val="Exercise 3.3"/>
      <sheetName val="Problem 3.4"/>
      <sheetName val="Problem 3.5"/>
      <sheetName val="Problem 3.6"/>
      <sheetName val="Exercise 4.1"/>
      <sheetName val="Exercise 4.2"/>
      <sheetName val="Exercise 4.3"/>
      <sheetName val="Problem 4.4"/>
      <sheetName val="Problem 4.5"/>
      <sheetName val="Problem 4.6"/>
      <sheetName val="Exercise 5.1"/>
      <sheetName val="Exercise 5.2"/>
      <sheetName val="Exercise 5.3"/>
      <sheetName val="Problem 5.4"/>
      <sheetName val="Problem 5.5"/>
      <sheetName val="Problem 5.6"/>
      <sheetName val="QUIGG"/>
      <sheetName val="CASE1"/>
      <sheetName val="CASE2"/>
      <sheetName val="CASE4"/>
      <sheetName val="CASE6"/>
    </sheetNames>
    <sheetDataSet>
      <sheetData sheetId="0"/>
      <sheetData sheetId="1"/>
      <sheetData sheetId="2"/>
      <sheetData sheetId="3"/>
      <sheetData sheetId="4">
        <row r="5">
          <cell r="B5">
            <v>0.5</v>
          </cell>
          <cell r="C5">
            <v>1</v>
          </cell>
          <cell r="D5">
            <v>1.5</v>
          </cell>
          <cell r="E5">
            <v>2</v>
          </cell>
          <cell r="F5">
            <v>2.5</v>
          </cell>
          <cell r="G5">
            <v>3</v>
          </cell>
          <cell r="H5">
            <v>3.5</v>
          </cell>
          <cell r="I5">
            <v>4</v>
          </cell>
          <cell r="J5">
            <v>4.5</v>
          </cell>
          <cell r="K5">
            <v>5</v>
          </cell>
          <cell r="L5">
            <v>5.5</v>
          </cell>
          <cell r="M5">
            <v>6</v>
          </cell>
          <cell r="N5">
            <v>6.5</v>
          </cell>
        </row>
        <row r="6">
          <cell r="A6" t="str">
            <v>CALL PRICE</v>
          </cell>
          <cell r="B6">
            <v>15.127174226438719</v>
          </cell>
          <cell r="C6">
            <v>21.792599909495252</v>
          </cell>
          <cell r="D6">
            <v>26.96572636624488</v>
          </cell>
          <cell r="E6">
            <v>31.327681372697036</v>
          </cell>
          <cell r="F6">
            <v>35.14796655308978</v>
          </cell>
          <cell r="G6">
            <v>38.567827516156434</v>
          </cell>
          <cell r="H6">
            <v>41.673063441514209</v>
          </cell>
          <cell r="I6">
            <v>44.520869947624234</v>
          </cell>
          <cell r="J6">
            <v>47.151910614506249</v>
          </cell>
          <cell r="K6">
            <v>49.596497220189718</v>
          </cell>
          <cell r="L6">
            <v>51.878060097850948</v>
          </cell>
          <cell r="M6">
            <v>54.015237296537613</v>
          </cell>
          <cell r="N6">
            <v>56.023202727966634</v>
          </cell>
        </row>
      </sheetData>
      <sheetData sheetId="5">
        <row r="4">
          <cell r="B4">
            <v>0.05</v>
          </cell>
          <cell r="C4">
            <v>0.1</v>
          </cell>
          <cell r="D4">
            <v>0.15000000000000002</v>
          </cell>
          <cell r="E4">
            <v>0.2</v>
          </cell>
          <cell r="F4">
            <v>0.25</v>
          </cell>
          <cell r="G4">
            <v>0.3</v>
          </cell>
          <cell r="H4">
            <v>0.35</v>
          </cell>
          <cell r="I4">
            <v>0.39999999999999997</v>
          </cell>
          <cell r="J4">
            <v>0.44999999999999996</v>
          </cell>
          <cell r="K4">
            <v>0.49999999999999994</v>
          </cell>
          <cell r="L4">
            <v>0.54999999999999993</v>
          </cell>
          <cell r="M4">
            <v>0.6</v>
          </cell>
          <cell r="N4">
            <v>0.65</v>
          </cell>
        </row>
        <row r="6">
          <cell r="A6" t="str">
            <v>CALL PRICE</v>
          </cell>
          <cell r="B6">
            <v>5.2832670625505358</v>
          </cell>
          <cell r="C6">
            <v>6.8049628767414845</v>
          </cell>
          <cell r="D6">
            <v>8.5916594253844281</v>
          </cell>
          <cell r="E6">
            <v>10.450575629120408</v>
          </cell>
          <cell r="F6">
            <v>12.335985881706478</v>
          </cell>
          <cell r="G6">
            <v>14.231244950504234</v>
          </cell>
          <cell r="H6">
            <v>16.128427624240331</v>
          </cell>
          <cell r="I6">
            <v>18.022951531770786</v>
          </cell>
          <cell r="J6">
            <v>19.911767916894426</v>
          </cell>
          <cell r="K6">
            <v>21.792599909495252</v>
          </cell>
          <cell r="L6">
            <v>23.663603276554539</v>
          </cell>
          <cell r="M6">
            <v>25.523197290048806</v>
          </cell>
          <cell r="N6">
            <v>27.369974028454649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B9">
            <v>0</v>
          </cell>
        </row>
      </sheetData>
      <sheetData sheetId="19">
        <row r="7">
          <cell r="B7">
            <v>0.05</v>
          </cell>
        </row>
      </sheetData>
      <sheetData sheetId="20">
        <row r="8">
          <cell r="B8">
            <v>0.02</v>
          </cell>
          <cell r="C8">
            <v>2.5000000000000001E-2</v>
          </cell>
          <cell r="D8">
            <v>3.0000000000000002E-2</v>
          </cell>
          <cell r="E8">
            <v>3.5000000000000003E-2</v>
          </cell>
          <cell r="F8">
            <v>0.04</v>
          </cell>
          <cell r="G8">
            <v>4.4999999999999998E-2</v>
          </cell>
          <cell r="H8">
            <v>4.9999999999999996E-2</v>
          </cell>
          <cell r="I8">
            <v>5.4999999999999993E-2</v>
          </cell>
          <cell r="J8">
            <v>5.9999999999999991E-2</v>
          </cell>
        </row>
        <row r="24">
          <cell r="A24" t="str">
            <v>ROV</v>
          </cell>
          <cell r="B24">
            <v>0.19442768285708267</v>
          </cell>
          <cell r="C24">
            <v>0.2077116735186976</v>
          </cell>
          <cell r="D24">
            <v>0.22148883734991726</v>
          </cell>
          <cell r="E24">
            <v>0.23562979124734945</v>
          </cell>
          <cell r="F24">
            <v>0.25000000000000006</v>
          </cell>
          <cell r="G24">
            <v>0.26446883388207576</v>
          </cell>
          <cell r="H24">
            <v>0.27891679653772417</v>
          </cell>
          <cell r="I24">
            <v>0.29324023055242654</v>
          </cell>
          <cell r="J24">
            <v>0.30735350239315212</v>
          </cell>
        </row>
        <row r="25">
          <cell r="A25" t="str">
            <v>ROV D</v>
          </cell>
          <cell r="B25">
            <v>0.46938994885434387</v>
          </cell>
          <cell r="C25">
            <v>0.47664160339522865</v>
          </cell>
          <cell r="D25">
            <v>0.48420575342880573</v>
          </cell>
          <cell r="E25">
            <v>0.49201561910156022</v>
          </cell>
          <cell r="F25">
            <v>0.5</v>
          </cell>
          <cell r="G25">
            <v>0.5080881639981768</v>
          </cell>
          <cell r="H25">
            <v>0.51621392416888801</v>
          </cell>
          <cell r="I25">
            <v>0.52431846950067373</v>
          </cell>
          <cell r="J25">
            <v>0.53235188202918193</v>
          </cell>
        </row>
        <row r="26">
          <cell r="A26" t="str">
            <v>ROV G</v>
          </cell>
          <cell r="B26">
            <v>0.66381763171142649</v>
          </cell>
          <cell r="C26">
            <v>0.61712079444479317</v>
          </cell>
          <cell r="D26">
            <v>0.57433613273927842</v>
          </cell>
          <cell r="E26">
            <v>0.53535603945825139</v>
          </cell>
          <cell r="F26">
            <v>0.49999999999999989</v>
          </cell>
          <cell r="G26">
            <v>0.46803283523512618</v>
          </cell>
          <cell r="H26">
            <v>0.4391850292598663</v>
          </cell>
          <cell r="I26">
            <v>0.41317178189366754</v>
          </cell>
          <cell r="J26">
            <v>0.38970862515027427</v>
          </cell>
        </row>
      </sheetData>
      <sheetData sheetId="21"/>
      <sheetData sheetId="22"/>
      <sheetData sheetId="23"/>
      <sheetData sheetId="24">
        <row r="4">
          <cell r="B4">
            <v>0</v>
          </cell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</row>
        <row r="16">
          <cell r="A16" t="str">
            <v>P(P,Q)</v>
          </cell>
          <cell r="B16">
            <v>0</v>
          </cell>
          <cell r="C16">
            <v>6.25</v>
          </cell>
          <cell r="D16">
            <v>25</v>
          </cell>
          <cell r="E16">
            <v>56.250000000000021</v>
          </cell>
          <cell r="F16">
            <v>100.00000000000003</v>
          </cell>
          <cell r="G16">
            <v>150.00000000000003</v>
          </cell>
        </row>
        <row r="17">
          <cell r="A17" t="str">
            <v>V-K</v>
          </cell>
          <cell r="B17">
            <v>-100</v>
          </cell>
          <cell r="C17">
            <v>-49.999999999999993</v>
          </cell>
          <cell r="D17">
            <v>0</v>
          </cell>
          <cell r="E17">
            <v>50.000000000000028</v>
          </cell>
          <cell r="F17">
            <v>100.00000000000003</v>
          </cell>
          <cell r="G17">
            <v>150.00000000000003</v>
          </cell>
        </row>
      </sheetData>
      <sheetData sheetId="25">
        <row r="9">
          <cell r="B9">
            <v>-0.8</v>
          </cell>
          <cell r="C9">
            <v>-0.70000000000000007</v>
          </cell>
          <cell r="D9">
            <v>-0.60000000000000009</v>
          </cell>
          <cell r="E9">
            <v>-0.50000000000000011</v>
          </cell>
          <cell r="F9">
            <v>-0.40000000000000013</v>
          </cell>
          <cell r="G9">
            <v>-0.30000000000000016</v>
          </cell>
          <cell r="H9">
            <v>-0.20000000000000015</v>
          </cell>
          <cell r="I9">
            <v>-0.10000000000000014</v>
          </cell>
          <cell r="J9">
            <v>-1.3877787807814457E-16</v>
          </cell>
        </row>
        <row r="20">
          <cell r="A20" t="str">
            <v>X*</v>
          </cell>
          <cell r="B20">
            <v>2.8164965809277254</v>
          </cell>
          <cell r="C20">
            <v>3.2419912536082358</v>
          </cell>
          <cell r="D20">
            <v>3.7266499161421587</v>
          </cell>
          <cell r="E20">
            <v>4.2996598285221177</v>
          </cell>
          <cell r="F20">
            <v>4.9999999999999973</v>
          </cell>
          <cell r="G20">
            <v>5.3080311495716206</v>
          </cell>
          <cell r="H20">
            <v>6.2248822315723826</v>
          </cell>
          <cell r="I20">
            <v>7.4369028117247638</v>
          </cell>
          <cell r="J20">
            <v>9.1231056256176526</v>
          </cell>
        </row>
        <row r="21">
          <cell r="A21" t="str">
            <v>P(P,Q)</v>
          </cell>
          <cell r="B21">
            <v>1.147247194506311</v>
          </cell>
          <cell r="C21">
            <v>2.8820901599640134</v>
          </cell>
          <cell r="D21">
            <v>5.0476622451930249</v>
          </cell>
          <cell r="E21">
            <v>7.5215226860275299</v>
          </cell>
          <cell r="F21">
            <v>10.259855680060182</v>
          </cell>
          <cell r="G21">
            <v>11.358452574243572</v>
          </cell>
          <cell r="H21">
            <v>14.279826396707605</v>
          </cell>
          <cell r="I21">
            <v>17.473593336331252</v>
          </cell>
          <cell r="J21">
            <v>20.985110859228278</v>
          </cell>
        </row>
      </sheetData>
      <sheetData sheetId="26"/>
      <sheetData sheetId="27">
        <row r="9">
          <cell r="B9">
            <v>-1</v>
          </cell>
          <cell r="C9">
            <v>-0.75</v>
          </cell>
          <cell r="D9">
            <v>-0.5</v>
          </cell>
          <cell r="E9">
            <v>-0.25</v>
          </cell>
          <cell r="F9">
            <v>0</v>
          </cell>
          <cell r="G9">
            <v>0.25</v>
          </cell>
          <cell r="H9">
            <v>0.5</v>
          </cell>
          <cell r="I9">
            <v>0.75</v>
          </cell>
          <cell r="J9">
            <v>0.99</v>
          </cell>
        </row>
        <row r="11">
          <cell r="A11" t="str">
            <v>Z*</v>
          </cell>
          <cell r="B11">
            <v>3.7320508075688776</v>
          </cell>
          <cell r="C11">
            <v>3.4610721925561894</v>
          </cell>
          <cell r="D11">
            <v>3.1861406616345072</v>
          </cell>
          <cell r="E11">
            <v>2.9058688457449504</v>
          </cell>
          <cell r="F11">
            <v>2.6180339887498953</v>
          </cell>
          <cell r="G11">
            <v>2.3187293044088437</v>
          </cell>
          <cell r="H11">
            <v>2</v>
          </cell>
          <cell r="I11">
            <v>1.6403882032022077</v>
          </cell>
          <cell r="J11">
            <v>1.1051249219725046</v>
          </cell>
        </row>
        <row r="12">
          <cell r="A12" t="str">
            <v>F(V,K)</v>
          </cell>
          <cell r="B12">
            <v>4.5205772181557808</v>
          </cell>
          <cell r="C12">
            <v>4.2935632391051728</v>
          </cell>
          <cell r="D12">
            <v>4.0383702019634207</v>
          </cell>
          <cell r="E12">
            <v>3.7474716938974195</v>
          </cell>
          <cell r="F12">
            <v>3.409490070205293</v>
          </cell>
          <cell r="G12">
            <v>3.0056222469790645</v>
          </cell>
          <cell r="H12">
            <v>2.5000000000000004</v>
          </cell>
          <cell r="I12">
            <v>1.8023791689562476</v>
          </cell>
          <cell r="J12">
            <v>0.36757330854501435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Hedging"/>
      <sheetName val="Strategy1"/>
      <sheetName val="Strategy2"/>
      <sheetName val="Strategy3"/>
      <sheetName val="Strategy4"/>
      <sheetName val="Strategy5"/>
      <sheetName val="CITY_SHARING"/>
      <sheetName val="SALFORD_TRI_CHANGE"/>
      <sheetName val="MARIA_EXERCISE2A"/>
    </sheetNames>
    <sheetDataSet>
      <sheetData sheetId="0">
        <row r="2">
          <cell r="A2" t="str">
            <v>OWN ASSET-DEBT</v>
          </cell>
          <cell r="B2">
            <v>-150</v>
          </cell>
          <cell r="C2">
            <v>-125</v>
          </cell>
          <cell r="D2">
            <v>-100</v>
          </cell>
          <cell r="E2">
            <v>-75</v>
          </cell>
          <cell r="F2">
            <v>-50</v>
          </cell>
          <cell r="G2">
            <v>-25</v>
          </cell>
          <cell r="H2">
            <v>0</v>
          </cell>
          <cell r="I2">
            <v>25</v>
          </cell>
          <cell r="J2">
            <v>50</v>
          </cell>
          <cell r="K2">
            <v>75</v>
          </cell>
          <cell r="L2">
            <v>100</v>
          </cell>
          <cell r="M2">
            <v>125</v>
          </cell>
          <cell r="N2">
            <v>150</v>
          </cell>
        </row>
        <row r="3">
          <cell r="A3" t="str">
            <v>SHORT FUTURES POSITION</v>
          </cell>
          <cell r="B3">
            <v>150</v>
          </cell>
          <cell r="C3">
            <v>125</v>
          </cell>
          <cell r="D3">
            <v>100</v>
          </cell>
          <cell r="E3">
            <v>75</v>
          </cell>
          <cell r="F3">
            <v>50</v>
          </cell>
          <cell r="G3">
            <v>25</v>
          </cell>
          <cell r="H3">
            <v>0</v>
          </cell>
          <cell r="I3">
            <v>-25</v>
          </cell>
          <cell r="J3">
            <v>-50</v>
          </cell>
          <cell r="K3">
            <v>-75</v>
          </cell>
          <cell r="L3">
            <v>-100</v>
          </cell>
          <cell r="M3">
            <v>-125</v>
          </cell>
          <cell r="N3">
            <v>-150</v>
          </cell>
        </row>
        <row r="4">
          <cell r="A4" t="str">
            <v>STRATEGY RESULT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</sheetData>
      <sheetData sheetId="1">
        <row r="2">
          <cell r="A2" t="str">
            <v>OWN ASSET-DEBT</v>
          </cell>
          <cell r="B2">
            <v>-150</v>
          </cell>
          <cell r="C2">
            <v>-125</v>
          </cell>
          <cell r="D2">
            <v>-100</v>
          </cell>
          <cell r="E2">
            <v>-75</v>
          </cell>
          <cell r="F2">
            <v>-50</v>
          </cell>
          <cell r="G2">
            <v>-25</v>
          </cell>
          <cell r="H2">
            <v>0</v>
          </cell>
          <cell r="I2">
            <v>25</v>
          </cell>
          <cell r="J2">
            <v>50</v>
          </cell>
          <cell r="K2">
            <v>75</v>
          </cell>
          <cell r="L2">
            <v>100</v>
          </cell>
          <cell r="M2">
            <v>125</v>
          </cell>
          <cell r="N2">
            <v>150</v>
          </cell>
        </row>
        <row r="3">
          <cell r="A3" t="str">
            <v>WRITE REAL CALL INTRINSIC</v>
          </cell>
          <cell r="B3">
            <v>25</v>
          </cell>
          <cell r="C3">
            <v>25</v>
          </cell>
          <cell r="D3">
            <v>25</v>
          </cell>
          <cell r="E3">
            <v>25</v>
          </cell>
          <cell r="F3">
            <v>25</v>
          </cell>
          <cell r="G3">
            <v>25</v>
          </cell>
          <cell r="H3">
            <v>25</v>
          </cell>
          <cell r="I3">
            <v>0</v>
          </cell>
          <cell r="J3">
            <v>-25</v>
          </cell>
          <cell r="K3">
            <v>-50</v>
          </cell>
          <cell r="L3">
            <v>-75</v>
          </cell>
          <cell r="M3">
            <v>-100</v>
          </cell>
          <cell r="N3">
            <v>-125</v>
          </cell>
        </row>
        <row r="4">
          <cell r="A4" t="str">
            <v>STRATEGY RESULT</v>
          </cell>
          <cell r="B4">
            <v>-125</v>
          </cell>
          <cell r="C4">
            <v>-100</v>
          </cell>
          <cell r="D4">
            <v>-75</v>
          </cell>
          <cell r="E4">
            <v>-50</v>
          </cell>
          <cell r="F4">
            <v>-25</v>
          </cell>
          <cell r="G4">
            <v>0</v>
          </cell>
          <cell r="H4">
            <v>25</v>
          </cell>
          <cell r="I4">
            <v>25</v>
          </cell>
          <cell r="J4">
            <v>25</v>
          </cell>
          <cell r="K4">
            <v>25</v>
          </cell>
          <cell r="L4">
            <v>25</v>
          </cell>
          <cell r="M4">
            <v>25</v>
          </cell>
          <cell r="N4">
            <v>25</v>
          </cell>
        </row>
      </sheetData>
      <sheetData sheetId="2">
        <row r="2">
          <cell r="B2">
            <v>-150</v>
          </cell>
        </row>
      </sheetData>
      <sheetData sheetId="3">
        <row r="2">
          <cell r="A2" t="str">
            <v>OWN ASSET-DEBT</v>
          </cell>
        </row>
      </sheetData>
      <sheetData sheetId="4">
        <row r="2">
          <cell r="B2">
            <v>-150</v>
          </cell>
          <cell r="C2">
            <v>-125</v>
          </cell>
          <cell r="D2">
            <v>-100</v>
          </cell>
          <cell r="E2">
            <v>-75</v>
          </cell>
          <cell r="F2">
            <v>-50</v>
          </cell>
          <cell r="G2">
            <v>-25</v>
          </cell>
          <cell r="H2">
            <v>0</v>
          </cell>
          <cell r="I2">
            <v>25</v>
          </cell>
          <cell r="J2">
            <v>50</v>
          </cell>
          <cell r="K2">
            <v>75</v>
          </cell>
          <cell r="L2">
            <v>100</v>
          </cell>
          <cell r="M2">
            <v>125</v>
          </cell>
          <cell r="N2">
            <v>150</v>
          </cell>
        </row>
        <row r="3">
          <cell r="A3" t="str">
            <v>REQUIRE USE OF NET ASSET</v>
          </cell>
          <cell r="B3">
            <v>150</v>
          </cell>
          <cell r="C3">
            <v>125</v>
          </cell>
          <cell r="D3">
            <v>100</v>
          </cell>
          <cell r="E3">
            <v>75</v>
          </cell>
          <cell r="F3">
            <v>50</v>
          </cell>
          <cell r="G3">
            <v>25</v>
          </cell>
          <cell r="H3">
            <v>0</v>
          </cell>
          <cell r="I3">
            <v>-25</v>
          </cell>
          <cell r="J3">
            <v>-50</v>
          </cell>
          <cell r="K3">
            <v>-75</v>
          </cell>
          <cell r="L3">
            <v>-100</v>
          </cell>
          <cell r="M3">
            <v>-125</v>
          </cell>
          <cell r="N3">
            <v>-150</v>
          </cell>
        </row>
        <row r="4">
          <cell r="A4" t="str">
            <v>WRITE REAL PUT INTRINSIC</v>
          </cell>
          <cell r="B4">
            <v>-125</v>
          </cell>
          <cell r="C4">
            <v>-100</v>
          </cell>
          <cell r="D4">
            <v>-75</v>
          </cell>
          <cell r="E4">
            <v>-50</v>
          </cell>
          <cell r="F4">
            <v>-25</v>
          </cell>
          <cell r="G4">
            <v>0</v>
          </cell>
          <cell r="H4">
            <v>25</v>
          </cell>
          <cell r="I4">
            <v>25</v>
          </cell>
          <cell r="J4">
            <v>25</v>
          </cell>
          <cell r="K4">
            <v>25</v>
          </cell>
          <cell r="L4">
            <v>25</v>
          </cell>
          <cell r="M4">
            <v>25</v>
          </cell>
          <cell r="N4">
            <v>25</v>
          </cell>
        </row>
        <row r="5">
          <cell r="A5" t="str">
            <v>STRATEGY RESULT</v>
          </cell>
          <cell r="B5">
            <v>25</v>
          </cell>
          <cell r="C5">
            <v>25</v>
          </cell>
          <cell r="D5">
            <v>25</v>
          </cell>
          <cell r="E5">
            <v>25</v>
          </cell>
          <cell r="F5">
            <v>25</v>
          </cell>
          <cell r="G5">
            <v>25</v>
          </cell>
          <cell r="H5">
            <v>25</v>
          </cell>
          <cell r="I5">
            <v>0</v>
          </cell>
          <cell r="J5">
            <v>-25</v>
          </cell>
          <cell r="K5">
            <v>-50</v>
          </cell>
          <cell r="L5">
            <v>-75</v>
          </cell>
          <cell r="M5">
            <v>-100</v>
          </cell>
          <cell r="N5">
            <v>-125</v>
          </cell>
        </row>
      </sheetData>
      <sheetData sheetId="5"/>
      <sheetData sheetId="6">
        <row r="9">
          <cell r="B9">
            <v>0</v>
          </cell>
          <cell r="C9">
            <v>2000</v>
          </cell>
          <cell r="D9">
            <v>4000</v>
          </cell>
          <cell r="E9">
            <v>6000</v>
          </cell>
          <cell r="F9">
            <v>8000</v>
          </cell>
          <cell r="G9">
            <v>10000</v>
          </cell>
          <cell r="H9">
            <v>12000</v>
          </cell>
          <cell r="I9">
            <v>14000</v>
          </cell>
          <cell r="J9">
            <v>16000</v>
          </cell>
          <cell r="K9">
            <v>18000</v>
          </cell>
          <cell r="L9">
            <v>20000</v>
          </cell>
          <cell r="M9">
            <v>22000</v>
          </cell>
          <cell r="N9">
            <v>24000</v>
          </cell>
          <cell r="O9">
            <v>26000</v>
          </cell>
          <cell r="P9">
            <v>28000</v>
          </cell>
          <cell r="Q9">
            <v>30000</v>
          </cell>
          <cell r="R9">
            <v>32000</v>
          </cell>
          <cell r="S9">
            <v>34000</v>
          </cell>
          <cell r="T9">
            <v>36000</v>
          </cell>
          <cell r="U9">
            <v>38000</v>
          </cell>
          <cell r="V9">
            <v>40000</v>
          </cell>
          <cell r="W9">
            <v>42000</v>
          </cell>
          <cell r="X9">
            <v>44000</v>
          </cell>
          <cell r="Y9">
            <v>46000</v>
          </cell>
          <cell r="Z9">
            <v>48000</v>
          </cell>
        </row>
        <row r="11">
          <cell r="A11" t="str">
            <v>MAN CITY</v>
          </cell>
          <cell r="B11">
            <v>-68000</v>
          </cell>
          <cell r="C11">
            <v>-28000</v>
          </cell>
          <cell r="D11">
            <v>12000</v>
          </cell>
          <cell r="E11">
            <v>52000</v>
          </cell>
          <cell r="F11">
            <v>92000</v>
          </cell>
          <cell r="G11">
            <v>132000</v>
          </cell>
          <cell r="H11">
            <v>172000</v>
          </cell>
          <cell r="I11">
            <v>212000</v>
          </cell>
          <cell r="J11">
            <v>252000</v>
          </cell>
          <cell r="K11">
            <v>292000</v>
          </cell>
          <cell r="L11">
            <v>332000</v>
          </cell>
          <cell r="M11">
            <v>372000</v>
          </cell>
          <cell r="N11">
            <v>412000</v>
          </cell>
          <cell r="O11">
            <v>452000</v>
          </cell>
          <cell r="P11">
            <v>492000</v>
          </cell>
          <cell r="Q11">
            <v>532000</v>
          </cell>
          <cell r="R11">
            <v>572000</v>
          </cell>
          <cell r="S11">
            <v>612000</v>
          </cell>
          <cell r="T11">
            <v>652000</v>
          </cell>
          <cell r="U11">
            <v>692000</v>
          </cell>
          <cell r="V11">
            <v>732000</v>
          </cell>
          <cell r="W11">
            <v>772000</v>
          </cell>
          <cell r="X11">
            <v>812000</v>
          </cell>
          <cell r="Y11">
            <v>852000</v>
          </cell>
          <cell r="Z11">
            <v>892000</v>
          </cell>
        </row>
        <row r="12">
          <cell r="A12" t="str">
            <v>COUNCIL</v>
          </cell>
          <cell r="B12">
            <v>68000</v>
          </cell>
          <cell r="C12">
            <v>68000</v>
          </cell>
          <cell r="D12">
            <v>68000</v>
          </cell>
          <cell r="E12">
            <v>68000</v>
          </cell>
          <cell r="F12">
            <v>68000</v>
          </cell>
          <cell r="G12">
            <v>68000</v>
          </cell>
          <cell r="H12">
            <v>68000</v>
          </cell>
          <cell r="I12">
            <v>68000</v>
          </cell>
          <cell r="J12">
            <v>68000</v>
          </cell>
          <cell r="K12">
            <v>68000</v>
          </cell>
          <cell r="L12">
            <v>68000</v>
          </cell>
          <cell r="M12">
            <v>68000</v>
          </cell>
          <cell r="N12">
            <v>68000</v>
          </cell>
          <cell r="O12">
            <v>68000</v>
          </cell>
          <cell r="P12">
            <v>68000</v>
          </cell>
          <cell r="Q12">
            <v>68000</v>
          </cell>
          <cell r="R12">
            <v>68000</v>
          </cell>
          <cell r="S12">
            <v>68000</v>
          </cell>
          <cell r="T12">
            <v>68000</v>
          </cell>
          <cell r="U12">
            <v>68000</v>
          </cell>
          <cell r="V12">
            <v>68000</v>
          </cell>
          <cell r="W12">
            <v>68000</v>
          </cell>
          <cell r="X12">
            <v>68000</v>
          </cell>
          <cell r="Y12">
            <v>68000</v>
          </cell>
          <cell r="Z12">
            <v>68000</v>
          </cell>
        </row>
        <row r="13">
          <cell r="A13" t="str">
            <v>MAN CITY(-)</v>
          </cell>
          <cell r="B13">
            <v>0</v>
          </cell>
          <cell r="C13">
            <v>40000</v>
          </cell>
          <cell r="D13">
            <v>80000</v>
          </cell>
          <cell r="E13">
            <v>120000</v>
          </cell>
          <cell r="F13">
            <v>160000</v>
          </cell>
          <cell r="G13">
            <v>200000</v>
          </cell>
          <cell r="H13">
            <v>240000</v>
          </cell>
          <cell r="I13">
            <v>280000</v>
          </cell>
          <cell r="J13">
            <v>320000</v>
          </cell>
          <cell r="K13">
            <v>360000</v>
          </cell>
          <cell r="L13">
            <v>400000</v>
          </cell>
          <cell r="M13">
            <v>440000</v>
          </cell>
          <cell r="N13">
            <v>480000</v>
          </cell>
          <cell r="O13">
            <v>520000</v>
          </cell>
          <cell r="P13">
            <v>560000</v>
          </cell>
          <cell r="Q13">
            <v>600000</v>
          </cell>
          <cell r="R13">
            <v>640000</v>
          </cell>
          <cell r="S13">
            <v>408000</v>
          </cell>
          <cell r="T13">
            <v>432000</v>
          </cell>
          <cell r="U13">
            <v>456000</v>
          </cell>
          <cell r="V13">
            <v>480000</v>
          </cell>
          <cell r="W13">
            <v>504000</v>
          </cell>
          <cell r="X13">
            <v>528000</v>
          </cell>
          <cell r="Y13">
            <v>552000</v>
          </cell>
          <cell r="Z13">
            <v>576000</v>
          </cell>
        </row>
        <row r="14">
          <cell r="A14" t="str">
            <v>COUNCIL(+)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272000</v>
          </cell>
          <cell r="T14">
            <v>288000</v>
          </cell>
          <cell r="U14">
            <v>304000</v>
          </cell>
          <cell r="V14">
            <v>320000</v>
          </cell>
          <cell r="W14">
            <v>336000</v>
          </cell>
          <cell r="X14">
            <v>352000</v>
          </cell>
          <cell r="Y14">
            <v>368000</v>
          </cell>
          <cell r="Z14">
            <v>384000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ODEL"/>
      <sheetName val="Figure 33.1"/>
    </sheetNames>
    <sheetDataSet>
      <sheetData sheetId="0"/>
      <sheetData sheetId="1">
        <row r="1">
          <cell r="B1">
            <v>8</v>
          </cell>
          <cell r="C1">
            <v>9</v>
          </cell>
          <cell r="D1">
            <v>10</v>
          </cell>
          <cell r="E1">
            <v>11</v>
          </cell>
          <cell r="F1">
            <v>12</v>
          </cell>
          <cell r="G1">
            <v>13</v>
          </cell>
          <cell r="H1">
            <v>14</v>
          </cell>
          <cell r="I1">
            <v>15</v>
          </cell>
          <cell r="J1">
            <v>16</v>
          </cell>
          <cell r="K1">
            <v>17</v>
          </cell>
          <cell r="L1">
            <v>18</v>
          </cell>
          <cell r="M1">
            <v>19</v>
          </cell>
          <cell r="N1">
            <v>20</v>
          </cell>
          <cell r="O1">
            <v>21</v>
          </cell>
          <cell r="P1">
            <v>22</v>
          </cell>
        </row>
        <row r="2">
          <cell r="A2" t="str">
            <v>I TRADITIONAL PRESENT VALUE</v>
          </cell>
          <cell r="B2">
            <v>-200</v>
          </cell>
          <cell r="C2">
            <v>-100</v>
          </cell>
          <cell r="D2">
            <v>0</v>
          </cell>
          <cell r="E2">
            <v>100</v>
          </cell>
          <cell r="F2">
            <v>200</v>
          </cell>
          <cell r="G2">
            <v>300</v>
          </cell>
          <cell r="H2">
            <v>400</v>
          </cell>
          <cell r="I2">
            <v>500</v>
          </cell>
          <cell r="J2">
            <v>600</v>
          </cell>
          <cell r="K2">
            <v>700</v>
          </cell>
          <cell r="L2">
            <v>800</v>
          </cell>
          <cell r="M2">
            <v>900</v>
          </cell>
          <cell r="N2">
            <v>1000</v>
          </cell>
          <cell r="O2">
            <v>1100</v>
          </cell>
          <cell r="P2">
            <v>1200</v>
          </cell>
        </row>
        <row r="3">
          <cell r="A3" t="str">
            <v>II EUROPEAN OPTION VALUE</v>
          </cell>
          <cell r="B3">
            <v>62.570664133283692</v>
          </cell>
          <cell r="C3">
            <v>96.749807380848722</v>
          </cell>
          <cell r="D3">
            <v>138.54656866371715</v>
          </cell>
          <cell r="E3">
            <v>187.24839342094074</v>
          </cell>
          <cell r="F3">
            <v>242.02071442866125</v>
          </cell>
          <cell r="G3">
            <v>302.0130967707791</v>
          </cell>
          <cell r="H3">
            <v>366.42385672020259</v>
          </cell>
          <cell r="I3">
            <v>434.53102284370379</v>
          </cell>
          <cell r="J3">
            <v>505.70519534462346</v>
          </cell>
          <cell r="K3">
            <v>579.40901113429902</v>
          </cell>
          <cell r="L3">
            <v>655.19051254023339</v>
          </cell>
          <cell r="M3">
            <v>732.67365983055606</v>
          </cell>
          <cell r="N3">
            <v>811.54799633663151</v>
          </cell>
          <cell r="O3">
            <v>891.55861722152849</v>
          </cell>
          <cell r="P3">
            <v>972.49702680431585</v>
          </cell>
        </row>
        <row r="4">
          <cell r="A4" t="str">
            <v>III FINITE AMERICAN OPTION</v>
          </cell>
          <cell r="B4">
            <v>75.107596990199241</v>
          </cell>
          <cell r="C4">
            <v>116.57978573288892</v>
          </cell>
          <cell r="D4">
            <v>168.43140872918613</v>
          </cell>
          <cell r="E4">
            <v>230.55836929942512</v>
          </cell>
          <cell r="F4">
            <v>302.79145134522747</v>
          </cell>
          <cell r="G4">
            <v>385.00188449998302</v>
          </cell>
          <cell r="H4">
            <v>477.16543913338728</v>
          </cell>
          <cell r="I4">
            <v>500</v>
          </cell>
          <cell r="J4">
            <v>600</v>
          </cell>
          <cell r="K4">
            <v>700</v>
          </cell>
          <cell r="L4">
            <v>800</v>
          </cell>
          <cell r="M4">
            <v>900</v>
          </cell>
          <cell r="N4">
            <v>1000</v>
          </cell>
          <cell r="O4">
            <v>1100</v>
          </cell>
          <cell r="P4">
            <v>1200</v>
          </cell>
        </row>
        <row r="5">
          <cell r="A5" t="str">
            <v>IV PERPETUAL AMERICAN OPTION</v>
          </cell>
          <cell r="B5">
            <v>160.05235310514669</v>
          </cell>
          <cell r="C5">
            <v>202.55774181246031</v>
          </cell>
          <cell r="D5">
            <v>250.06188009310696</v>
          </cell>
          <cell r="E5">
            <v>302.56457957532535</v>
          </cell>
          <cell r="F5">
            <v>360.06566992019395</v>
          </cell>
          <cell r="G5">
            <v>422.56499566512639</v>
          </cell>
          <cell r="H5">
            <v>490.06241383065179</v>
          </cell>
          <cell r="I5">
            <v>562.55779206242971</v>
          </cell>
          <cell r="J5">
            <v>640.05100715979063</v>
          </cell>
          <cell r="K5">
            <v>722.54194389044096</v>
          </cell>
          <cell r="L5">
            <v>810.03049402157751</v>
          </cell>
          <cell r="M5">
            <v>902.51655551772035</v>
          </cell>
          <cell r="N5">
            <v>1000.0000318690538</v>
          </cell>
          <cell r="O5">
            <v>1100</v>
          </cell>
          <cell r="P5">
            <v>1200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ARSHALL"/>
      <sheetName val="SENSITIVITIES"/>
      <sheetName val="DIXIT1"/>
      <sheetName val="DIXIT2"/>
    </sheetNames>
    <sheetDataSet>
      <sheetData sheetId="0"/>
      <sheetData sheetId="1">
        <row r="5">
          <cell r="B5">
            <v>0.70000000000000007</v>
          </cell>
        </row>
        <row r="23">
          <cell r="B23">
            <v>2</v>
          </cell>
          <cell r="C23">
            <v>3</v>
          </cell>
          <cell r="D23">
            <v>4</v>
          </cell>
          <cell r="E23">
            <v>5</v>
          </cell>
          <cell r="F23">
            <v>6</v>
          </cell>
          <cell r="G23">
            <v>7</v>
          </cell>
          <cell r="H23">
            <v>8</v>
          </cell>
        </row>
        <row r="35">
          <cell r="A35" t="str">
            <v xml:space="preserve"> WH-WL</v>
          </cell>
          <cell r="B35">
            <v>1.08</v>
          </cell>
          <cell r="C35">
            <v>1.1200000000000001</v>
          </cell>
          <cell r="D35">
            <v>1.1599999999999999</v>
          </cell>
          <cell r="E35">
            <v>1.2</v>
          </cell>
          <cell r="F35">
            <v>1.24</v>
          </cell>
          <cell r="G35">
            <v>1.28</v>
          </cell>
          <cell r="H35">
            <v>1.32</v>
          </cell>
        </row>
        <row r="36">
          <cell r="A36" t="str">
            <v xml:space="preserve"> PH-PL</v>
          </cell>
          <cell r="B36">
            <v>2.16</v>
          </cell>
          <cell r="C36">
            <v>2.2400000000000002</v>
          </cell>
          <cell r="D36">
            <v>2.3199999999999998</v>
          </cell>
          <cell r="E36">
            <v>2.4</v>
          </cell>
          <cell r="F36">
            <v>2.48</v>
          </cell>
          <cell r="G36">
            <v>2.56</v>
          </cell>
          <cell r="H36">
            <v>2.64</v>
          </cell>
        </row>
        <row r="96">
          <cell r="B96">
            <v>0.14000000000000004</v>
          </cell>
          <cell r="C96">
            <v>0.16000000000000003</v>
          </cell>
          <cell r="D96">
            <v>0.18000000000000002</v>
          </cell>
          <cell r="E96">
            <v>0.2</v>
          </cell>
          <cell r="F96">
            <v>0.22</v>
          </cell>
          <cell r="G96">
            <v>0.24</v>
          </cell>
          <cell r="H96">
            <v>0.26</v>
          </cell>
        </row>
        <row r="103">
          <cell r="A103" t="str">
            <v xml:space="preserve"> WH-WL</v>
          </cell>
          <cell r="B103">
            <v>1.2</v>
          </cell>
          <cell r="C103">
            <v>1.2</v>
          </cell>
          <cell r="D103">
            <v>1.2</v>
          </cell>
          <cell r="E103">
            <v>1.2</v>
          </cell>
          <cell r="F103">
            <v>1.2</v>
          </cell>
          <cell r="G103">
            <v>1.2</v>
          </cell>
          <cell r="H103">
            <v>1.2</v>
          </cell>
        </row>
        <row r="104">
          <cell r="A104" t="str">
            <v xml:space="preserve"> PH-PL</v>
          </cell>
          <cell r="B104">
            <v>1.9588896959420055</v>
          </cell>
          <cell r="C104">
            <v>2.0974530459215557</v>
          </cell>
          <cell r="D104">
            <v>2.2444043923014148</v>
          </cell>
          <cell r="E104">
            <v>2.4</v>
          </cell>
          <cell r="F104">
            <v>2.564483399762572</v>
          </cell>
          <cell r="G104">
            <v>2.7380849876930795</v>
          </cell>
          <cell r="H104">
            <v>2.9210218284693243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ENTRY_ONLY"/>
      <sheetName val="FIG8.5_8.6"/>
      <sheetName val="FIG8.7"/>
      <sheetName val="FIG8.9"/>
      <sheetName val="Table 1C"/>
      <sheetName val="Table 4A"/>
      <sheetName val="No_Reverts"/>
    </sheetNames>
    <sheetDataSet>
      <sheetData sheetId="0">
        <row r="5">
          <cell r="B5">
            <v>1</v>
          </cell>
          <cell r="C5">
            <v>2.5</v>
          </cell>
          <cell r="D5">
            <v>5</v>
          </cell>
          <cell r="E5">
            <v>7.5</v>
          </cell>
          <cell r="F5">
            <v>10</v>
          </cell>
          <cell r="G5">
            <v>12.5</v>
          </cell>
          <cell r="H5">
            <v>15</v>
          </cell>
          <cell r="I5">
            <v>17.5</v>
          </cell>
          <cell r="J5">
            <v>20</v>
          </cell>
        </row>
        <row r="15">
          <cell r="A15" t="str">
            <v>Option to Invest</v>
          </cell>
          <cell r="B15">
            <v>9.539285350502567</v>
          </cell>
          <cell r="C15">
            <v>32.367005256412355</v>
          </cell>
          <cell r="D15">
            <v>81.559742489223837</v>
          </cell>
          <cell r="E15">
            <v>140.04389826959502</v>
          </cell>
          <cell r="F15">
            <v>205.51767277235692</v>
          </cell>
          <cell r="G15">
            <v>276.73400227211681</v>
          </cell>
          <cell r="H15">
            <v>352.88851067839806</v>
          </cell>
          <cell r="I15">
            <v>433.41097553564333</v>
          </cell>
          <cell r="J15">
            <v>517.87208410259757</v>
          </cell>
        </row>
        <row r="16">
          <cell r="A16" t="str">
            <v>NPV</v>
          </cell>
          <cell r="B16">
            <v>-116.66666666666666</v>
          </cell>
          <cell r="C16">
            <v>-66.666666666666657</v>
          </cell>
          <cell r="D16">
            <v>16.666666666666686</v>
          </cell>
          <cell r="E16">
            <v>100</v>
          </cell>
          <cell r="F16">
            <v>183.33333333333337</v>
          </cell>
          <cell r="G16">
            <v>266.66666666666669</v>
          </cell>
          <cell r="H16">
            <v>350</v>
          </cell>
          <cell r="I16">
            <v>433.33333333333337</v>
          </cell>
          <cell r="J16">
            <v>516.66666666666674</v>
          </cell>
        </row>
      </sheetData>
      <sheetData sheetId="1">
        <row r="5">
          <cell r="C5">
            <v>1</v>
          </cell>
          <cell r="D5">
            <v>2.5</v>
          </cell>
          <cell r="E5">
            <v>5</v>
          </cell>
          <cell r="F5">
            <v>7.5</v>
          </cell>
          <cell r="G5">
            <v>10</v>
          </cell>
          <cell r="H5">
            <v>12.5</v>
          </cell>
          <cell r="I5">
            <v>15</v>
          </cell>
          <cell r="J5">
            <v>17.5</v>
          </cell>
          <cell r="K5">
            <v>20</v>
          </cell>
        </row>
        <row r="32">
          <cell r="B32" t="str">
            <v>OPTION TO INVEST</v>
          </cell>
          <cell r="C32">
            <v>9.5672592213042442</v>
          </cell>
          <cell r="D32">
            <v>32.461921216047884</v>
          </cell>
          <cell r="E32">
            <v>81.798915720255394</v>
          </cell>
          <cell r="F32">
            <v>140.45457577559401</v>
          </cell>
          <cell r="G32">
            <v>206.12035154905291</v>
          </cell>
          <cell r="H32">
            <v>277.54552231177922</v>
          </cell>
          <cell r="I32">
            <v>353.92335314745083</v>
          </cell>
          <cell r="J32">
            <v>434.68194942815018</v>
          </cell>
          <cell r="K32">
            <v>516.66666666666674</v>
          </cell>
        </row>
        <row r="33">
          <cell r="B33" t="str">
            <v>OPTION TO ABANDON</v>
          </cell>
          <cell r="C33">
            <v>23.330194606438006</v>
          </cell>
          <cell r="D33">
            <v>9.3320778425752042</v>
          </cell>
          <cell r="E33">
            <v>4.666038921287603</v>
          </cell>
          <cell r="F33">
            <v>3.1106926141917355</v>
          </cell>
          <cell r="G33">
            <v>2.3330194606438011</v>
          </cell>
          <cell r="H33">
            <v>1.8664155685150408</v>
          </cell>
          <cell r="I33">
            <v>1.5553463070958677</v>
          </cell>
          <cell r="J33">
            <v>1.3331539775107433</v>
          </cell>
          <cell r="K33">
            <v>1.1665097303219008</v>
          </cell>
        </row>
        <row r="34">
          <cell r="B34" t="str">
            <v>PV-I</v>
          </cell>
          <cell r="C34">
            <v>-116.66666666666666</v>
          </cell>
          <cell r="D34">
            <v>-66.666666666666657</v>
          </cell>
          <cell r="E34">
            <v>16.666666666666686</v>
          </cell>
          <cell r="F34">
            <v>100</v>
          </cell>
          <cell r="G34">
            <v>183.33333333333337</v>
          </cell>
          <cell r="H34">
            <v>266.66666666666669</v>
          </cell>
          <cell r="I34">
            <v>350</v>
          </cell>
          <cell r="J34">
            <v>433.33333333333337</v>
          </cell>
          <cell r="K34">
            <v>516.66666666666674</v>
          </cell>
        </row>
      </sheetData>
      <sheetData sheetId="2">
        <row r="11">
          <cell r="C11">
            <v>0.1</v>
          </cell>
          <cell r="D11">
            <v>0.15000000000000002</v>
          </cell>
          <cell r="E11">
            <v>0.2</v>
          </cell>
          <cell r="F11">
            <v>0.25</v>
          </cell>
          <cell r="G11">
            <v>0.3</v>
          </cell>
          <cell r="H11">
            <v>0.35</v>
          </cell>
          <cell r="I11">
            <v>0.39999999999999997</v>
          </cell>
          <cell r="J11">
            <v>0.44999999999999996</v>
          </cell>
          <cell r="K11">
            <v>0.49999999999999994</v>
          </cell>
        </row>
        <row r="30">
          <cell r="B30" t="str">
            <v>OPTION TO INVEST</v>
          </cell>
          <cell r="C30">
            <v>53.719975802777675</v>
          </cell>
          <cell r="D30">
            <v>60.45404399759596</v>
          </cell>
          <cell r="E30">
            <v>67.646831095879946</v>
          </cell>
          <cell r="F30">
            <v>74.840439144528261</v>
          </cell>
          <cell r="G30">
            <v>81.798923527490984</v>
          </cell>
          <cell r="H30">
            <v>88.384243940103701</v>
          </cell>
          <cell r="I30">
            <v>94.522068356407303</v>
          </cell>
          <cell r="J30">
            <v>100.18035974059863</v>
          </cell>
          <cell r="K30">
            <v>105.18735242822268</v>
          </cell>
        </row>
        <row r="31">
          <cell r="B31" t="str">
            <v>OPTION TO ABANDON</v>
          </cell>
          <cell r="C31">
            <v>1.0801079241358322E-3</v>
          </cell>
          <cell r="D31">
            <v>0.1249527284861531</v>
          </cell>
          <cell r="E31">
            <v>0.86254339905425315</v>
          </cell>
          <cell r="F31">
            <v>2.4382961241796473</v>
          </cell>
          <cell r="G31">
            <v>4.6659267556049953</v>
          </cell>
          <cell r="H31">
            <v>7.2704157613963947</v>
          </cell>
          <cell r="I31">
            <v>10.025371919185332</v>
          </cell>
          <cell r="J31">
            <v>12.776971156492859</v>
          </cell>
          <cell r="K31">
            <v>15.418892567971616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FIGURE3"/>
      <sheetName val="TABLE2"/>
      <sheetName val="RISK"/>
      <sheetName val="FIG9.2"/>
      <sheetName val="FIG9.3"/>
      <sheetName val="LAM_PER"/>
      <sheetName val="LAM_PER2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</sheetNames>
    <sheetDataSet>
      <sheetData sheetId="0"/>
      <sheetData sheetId="1"/>
      <sheetData sheetId="2"/>
      <sheetData sheetId="3">
        <row r="9">
          <cell r="B9">
            <v>10</v>
          </cell>
          <cell r="C9">
            <v>12</v>
          </cell>
          <cell r="D9">
            <v>14</v>
          </cell>
          <cell r="E9">
            <v>16</v>
          </cell>
          <cell r="F9">
            <v>18</v>
          </cell>
          <cell r="G9">
            <v>20</v>
          </cell>
        </row>
        <row r="19">
          <cell r="A19" t="str">
            <v>xF</v>
          </cell>
          <cell r="B19">
            <v>0.80242221013469317</v>
          </cell>
          <cell r="C19">
            <v>0.96290665216163163</v>
          </cell>
          <cell r="D19">
            <v>1.1233910941885705</v>
          </cell>
          <cell r="E19">
            <v>1.283875536215509</v>
          </cell>
          <cell r="F19">
            <v>1.4443599782424474</v>
          </cell>
          <cell r="G19">
            <v>1.6048444202693863</v>
          </cell>
        </row>
        <row r="20">
          <cell r="A20" t="str">
            <v>ROV</v>
          </cell>
          <cell r="B20">
            <v>8.0735282293674135</v>
          </cell>
          <cell r="C20">
            <v>4.7028606331256562</v>
          </cell>
          <cell r="D20">
            <v>2.9780022501778456</v>
          </cell>
          <cell r="E20">
            <v>2.0046151021185459</v>
          </cell>
          <cell r="F20">
            <v>1.4138707940358168</v>
          </cell>
          <cell r="G20">
            <v>1.0346176233885231</v>
          </cell>
        </row>
      </sheetData>
      <sheetData sheetId="4">
        <row r="13">
          <cell r="B13">
            <v>0.1</v>
          </cell>
          <cell r="C13">
            <v>0.2</v>
          </cell>
          <cell r="D13">
            <v>0.3</v>
          </cell>
          <cell r="E13">
            <v>0.4</v>
          </cell>
          <cell r="F13">
            <v>0.5</v>
          </cell>
          <cell r="G13">
            <v>0.6</v>
          </cell>
        </row>
        <row r="19">
          <cell r="A19" t="str">
            <v>xF</v>
          </cell>
          <cell r="B19">
            <v>1.6048444202693877</v>
          </cell>
          <cell r="C19">
            <v>2.1739858069391467</v>
          </cell>
          <cell r="D19">
            <v>3.0328990578970174</v>
          </cell>
          <cell r="E19">
            <v>4.4784609690826551</v>
          </cell>
          <cell r="F19">
            <v>7.4234103810133085</v>
          </cell>
          <cell r="G19">
            <v>16.713843876330618</v>
          </cell>
        </row>
        <row r="20">
          <cell r="A20" t="str">
            <v>ROV</v>
          </cell>
          <cell r="B20">
            <v>0.51730881169425957</v>
          </cell>
          <cell r="C20">
            <v>1.4341589344284387</v>
          </cell>
          <cell r="D20">
            <v>2.4357161874792701</v>
          </cell>
          <cell r="E20">
            <v>3.5239545495404423</v>
          </cell>
          <cell r="F20">
            <v>4.7465021478374245</v>
          </cell>
          <cell r="G20">
            <v>6.2209476284969911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Figure1"/>
      <sheetName val="Figure2"/>
      <sheetName val="Fig 5+6"/>
      <sheetName val="Fig 3+4"/>
    </sheetNames>
    <sheetDataSet>
      <sheetData sheetId="0">
        <row r="12">
          <cell r="B12">
            <v>5.0000000000000004E-6</v>
          </cell>
          <cell r="C12">
            <v>5</v>
          </cell>
          <cell r="D12">
            <v>10</v>
          </cell>
          <cell r="E12">
            <v>15</v>
          </cell>
          <cell r="F12">
            <v>20</v>
          </cell>
          <cell r="G12">
            <v>25</v>
          </cell>
          <cell r="H12">
            <v>30</v>
          </cell>
          <cell r="I12">
            <v>35</v>
          </cell>
          <cell r="J12">
            <v>40</v>
          </cell>
          <cell r="K12">
            <v>45</v>
          </cell>
          <cell r="L12">
            <v>50</v>
          </cell>
        </row>
        <row r="25">
          <cell r="A25" t="str">
            <v>Follower</v>
          </cell>
          <cell r="B25">
            <v>2.7882077341253345E-10</v>
          </cell>
          <cell r="C25">
            <v>0.35628148580848801</v>
          </cell>
          <cell r="D25">
            <v>1.020187344106138</v>
          </cell>
          <cell r="E25">
            <v>1.8877370715464308</v>
          </cell>
          <cell r="F25">
            <v>2.9212357602937202</v>
          </cell>
          <cell r="G25">
            <v>4.0987484539442738</v>
          </cell>
          <cell r="H25">
            <v>5.4054042831370994</v>
          </cell>
          <cell r="I25">
            <v>6.8302455302210818</v>
          </cell>
          <cell r="J25">
            <v>8.3647561563271235</v>
          </cell>
          <cell r="K25">
            <v>10.000000000000002</v>
          </cell>
          <cell r="L25">
            <v>11.666666666666668</v>
          </cell>
        </row>
        <row r="26">
          <cell r="A26" t="str">
            <v>Leader</v>
          </cell>
          <cell r="B26">
            <v>-4.9999965837565119</v>
          </cell>
          <cell r="C26">
            <v>-2.1240776658076572</v>
          </cell>
          <cell r="D26">
            <v>0.28494941117813966</v>
          </cell>
          <cell r="E26">
            <v>2.3848970875542186</v>
          </cell>
          <cell r="F26">
            <v>4.2329766094481016</v>
          </cell>
          <cell r="G26">
            <v>5.8624796404203359</v>
          </cell>
          <cell r="H26">
            <v>7.2959763634476644</v>
          </cell>
          <cell r="I26">
            <v>8.5500977962863161</v>
          </cell>
          <cell r="J26">
            <v>9.6377691116915987</v>
          </cell>
          <cell r="K26">
            <v>10.750000000000002</v>
          </cell>
          <cell r="L26">
            <v>12.5</v>
          </cell>
        </row>
      </sheetData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Leland_Fig1"/>
      <sheetName val="ODE_Proof"/>
      <sheetName val="DELTA"/>
      <sheetName val="Parts"/>
      <sheetName val="Vega"/>
      <sheetName val="Partial a"/>
      <sheetName val="TaxEffect"/>
      <sheetName val="Rho"/>
      <sheetName val="PROOF"/>
      <sheetName val="PROTECTED"/>
    </sheetNames>
    <sheetDataSet>
      <sheetData sheetId="0"/>
      <sheetData sheetId="1"/>
      <sheetData sheetId="2">
        <row r="4">
          <cell r="B4">
            <v>30</v>
          </cell>
          <cell r="C4">
            <v>40</v>
          </cell>
          <cell r="D4">
            <v>50</v>
          </cell>
          <cell r="E4">
            <v>60</v>
          </cell>
          <cell r="F4">
            <v>70</v>
          </cell>
          <cell r="G4">
            <v>80</v>
          </cell>
          <cell r="H4">
            <v>90</v>
          </cell>
          <cell r="I4">
            <v>100</v>
          </cell>
          <cell r="J4">
            <v>110</v>
          </cell>
          <cell r="K4">
            <v>120</v>
          </cell>
        </row>
        <row r="24">
          <cell r="A24" t="str">
            <v>ASSETS</v>
          </cell>
          <cell r="B24">
            <v>3.0066068672839528</v>
          </cell>
          <cell r="C24">
            <v>42.101745605468743</v>
          </cell>
          <cell r="D24">
            <v>62.462760416666669</v>
          </cell>
          <cell r="E24">
            <v>77.042492525077165</v>
          </cell>
          <cell r="F24">
            <v>89.371754282069972</v>
          </cell>
          <cell r="G24">
            <v>100.67938486735025</v>
          </cell>
          <cell r="H24">
            <v>111.46938050125743</v>
          </cell>
          <cell r="I24">
            <v>121.97451171874999</v>
          </cell>
          <cell r="J24">
            <v>132.31243054251189</v>
          </cell>
          <cell r="K24">
            <v>142.54697823230131</v>
          </cell>
        </row>
        <row r="25">
          <cell r="A25" t="str">
            <v>NOM D</v>
          </cell>
          <cell r="B25">
            <v>66.666666666666671</v>
          </cell>
          <cell r="C25">
            <v>66.666666666666671</v>
          </cell>
          <cell r="D25">
            <v>66.666666666666671</v>
          </cell>
          <cell r="E25">
            <v>66.666666666666671</v>
          </cell>
          <cell r="F25">
            <v>66.666666666666671</v>
          </cell>
          <cell r="G25">
            <v>66.666666666666671</v>
          </cell>
          <cell r="H25">
            <v>66.666666666666671</v>
          </cell>
          <cell r="I25">
            <v>66.666666666666671</v>
          </cell>
          <cell r="J25">
            <v>66.666666666666671</v>
          </cell>
          <cell r="K25">
            <v>66.666666666666671</v>
          </cell>
        </row>
        <row r="26">
          <cell r="A26" t="str">
            <v>PUT</v>
          </cell>
          <cell r="B26">
            <v>64.100356867283963</v>
          </cell>
          <cell r="C26">
            <v>27.042338053385429</v>
          </cell>
          <cell r="D26">
            <v>13.845677083333328</v>
          </cell>
          <cell r="E26">
            <v>8.0125446084104937</v>
          </cell>
          <cell r="F26">
            <v>5.045800686345963</v>
          </cell>
          <cell r="G26">
            <v>3.3802922566731795</v>
          </cell>
          <cell r="H26">
            <v>2.3740872913808886</v>
          </cell>
          <cell r="I26">
            <v>1.7307096354166731</v>
          </cell>
          <cell r="J26">
            <v>1.3003077651515156</v>
          </cell>
          <cell r="K26">
            <v>1.0015680760513135</v>
          </cell>
        </row>
        <row r="27">
          <cell r="A27" t="str">
            <v>EQUITY</v>
          </cell>
          <cell r="B27">
            <v>0.44029706790123413</v>
          </cell>
          <cell r="C27">
            <v>2.4774169921875</v>
          </cell>
          <cell r="D27">
            <v>9.6417708333333323</v>
          </cell>
          <cell r="E27">
            <v>18.388370466820987</v>
          </cell>
          <cell r="F27">
            <v>27.750888301749271</v>
          </cell>
          <cell r="G27">
            <v>37.393010457356766</v>
          </cell>
          <cell r="H27">
            <v>47.17680112597165</v>
          </cell>
          <cell r="I27">
            <v>57.038554687499996</v>
          </cell>
          <cell r="J27">
            <v>66.946071640996735</v>
          </cell>
          <cell r="K27">
            <v>76.881879641685956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TERMINSTIC"/>
      <sheetName val="DETER_STOCHASTIC P_C"/>
      <sheetName val="MODEL IIa"/>
      <sheetName val="MODEL IIb"/>
      <sheetName val="MODEL IIIa"/>
      <sheetName val="MODEL IIIb"/>
      <sheetName val="COMPARE"/>
      <sheetName val="MIIb"/>
      <sheetName val="MIIIb"/>
      <sheetName val="ComCorrel"/>
      <sheetName val="MII-VOL"/>
      <sheetName val="MIII-VOL"/>
      <sheetName val="ComVOL"/>
      <sheetName val="MII_CI"/>
      <sheetName val="MIII-C I"/>
      <sheetName val="COM_C_I"/>
      <sheetName val="MII-K"/>
      <sheetName val="MIII_K"/>
      <sheetName val="COM_K"/>
    </sheetNames>
    <sheetDataSet>
      <sheetData sheetId="0">
        <row r="3">
          <cell r="B3">
            <v>80</v>
          </cell>
        </row>
        <row r="5">
          <cell r="B5">
            <v>100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TWO_OUTPUTS"/>
      <sheetName val="VOLATILITY"/>
      <sheetName val="SINGLE"/>
    </sheetNames>
    <sheetDataSet>
      <sheetData sheetId="0"/>
      <sheetData sheetId="1">
        <row r="7">
          <cell r="C7">
            <v>0.2</v>
          </cell>
          <cell r="D7">
            <v>0.25</v>
          </cell>
          <cell r="E7">
            <v>0.3</v>
          </cell>
          <cell r="F7">
            <v>0.35</v>
          </cell>
          <cell r="G7">
            <v>0.39999999999999997</v>
          </cell>
          <cell r="H7">
            <v>0.44999999999999996</v>
          </cell>
        </row>
        <row r="42">
          <cell r="B42" t="str">
            <v>SPREAD y12-y21</v>
          </cell>
          <cell r="C42">
            <v>84.771570954692294</v>
          </cell>
          <cell r="D42">
            <v>86.51244116256656</v>
          </cell>
          <cell r="E42">
            <v>89.400917180780908</v>
          </cell>
          <cell r="F42">
            <v>93.028607468719855</v>
          </cell>
          <cell r="G42">
            <v>97.035670889165544</v>
          </cell>
          <cell r="H42">
            <v>101.14482664785257</v>
          </cell>
        </row>
      </sheetData>
      <sheetData sheetId="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OUTPUT"/>
      <sheetName val="OUT_VOLATILITY"/>
      <sheetName val="OUT_SINGLE"/>
      <sheetName val="IN_OUT"/>
      <sheetName val="VOLATILITY"/>
      <sheetName val="SINGLE"/>
      <sheetName val="COMPARISON"/>
      <sheetName val="INPUT"/>
      <sheetName val="INPUT_VOLATILITY"/>
      <sheetName val="INPUT_SINGLE"/>
    </sheetNames>
    <sheetDataSet>
      <sheetData sheetId="0"/>
      <sheetData sheetId="1"/>
      <sheetData sheetId="2"/>
      <sheetData sheetId="3"/>
      <sheetData sheetId="4">
        <row r="7">
          <cell r="C7">
            <v>0.2</v>
          </cell>
          <cell r="D7">
            <v>0.25</v>
          </cell>
          <cell r="E7">
            <v>0.3</v>
          </cell>
          <cell r="F7">
            <v>0.35</v>
          </cell>
          <cell r="G7">
            <v>0.39999999999999997</v>
          </cell>
          <cell r="H7">
            <v>0.44999999999999996</v>
          </cell>
        </row>
        <row r="45">
          <cell r="B45" t="str">
            <v>SPREAD y12-y21</v>
          </cell>
          <cell r="C45">
            <v>84.771570943363031</v>
          </cell>
          <cell r="D45">
            <v>86.512441162565921</v>
          </cell>
          <cell r="E45">
            <v>89.400917180781818</v>
          </cell>
          <cell r="F45">
            <v>93.028607475985027</v>
          </cell>
          <cell r="G45">
            <v>97.035670889165004</v>
          </cell>
          <cell r="H45">
            <v>101.14482664785261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OUTPUT"/>
      <sheetName val="OUT_VOLATILITY"/>
      <sheetName val="OUT_SINGLE"/>
      <sheetName val="IN_OUT"/>
      <sheetName val="VOLATILITY"/>
      <sheetName val="SINGLE"/>
      <sheetName val="new INPUT"/>
      <sheetName val="new INPUT SINGLE"/>
      <sheetName val="new INPUT Volatility"/>
      <sheetName val="COMPARISON"/>
    </sheetNames>
    <sheetDataSet>
      <sheetData sheetId="0"/>
      <sheetData sheetId="1"/>
      <sheetData sheetId="2"/>
      <sheetData sheetId="3">
        <row r="22">
          <cell r="E22">
            <v>1250</v>
          </cell>
        </row>
      </sheetData>
      <sheetData sheetId="4"/>
      <sheetData sheetId="5"/>
      <sheetData sheetId="6"/>
      <sheetData sheetId="7"/>
      <sheetData sheetId="8">
        <row r="7">
          <cell r="C7">
            <v>0.2</v>
          </cell>
          <cell r="D7">
            <v>0.25</v>
          </cell>
          <cell r="E7">
            <v>0.3</v>
          </cell>
          <cell r="F7">
            <v>0.35</v>
          </cell>
          <cell r="G7">
            <v>0.39999999999999997</v>
          </cell>
          <cell r="H7">
            <v>0.44999999999999996</v>
          </cell>
        </row>
        <row r="43">
          <cell r="B43" t="str">
            <v>SPREAD y12-y21</v>
          </cell>
          <cell r="C43">
            <v>56.085749362401558</v>
          </cell>
          <cell r="D43">
            <v>56.900199739516943</v>
          </cell>
          <cell r="E43">
            <v>58.355221437152736</v>
          </cell>
          <cell r="F43">
            <v>60.195787603827711</v>
          </cell>
          <cell r="G43">
            <v>62.197847485890804</v>
          </cell>
          <cell r="H43">
            <v>64.187091541309726</v>
          </cell>
        </row>
      </sheetData>
      <sheetData sheetId="9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GESKE"/>
      <sheetName val="Euro_Com_Exch"/>
      <sheetName val="TWO STAGE"/>
      <sheetName val="A+P"/>
    </sheetNames>
    <sheetDataSet>
      <sheetData sheetId="0"/>
      <sheetData sheetId="1">
        <row r="3">
          <cell r="A3" t="str">
            <v xml:space="preserve">DEVELOPMENT TIME t' </v>
          </cell>
          <cell r="B3">
            <v>1</v>
          </cell>
        </row>
        <row r="4">
          <cell r="A4" t="str">
            <v xml:space="preserve">INVESTMENT TIME    t </v>
          </cell>
          <cell r="B4">
            <v>2</v>
          </cell>
        </row>
        <row r="5">
          <cell r="A5" t="str">
            <v>V YIELD</v>
          </cell>
          <cell r="B5">
            <v>0.04</v>
          </cell>
        </row>
        <row r="6">
          <cell r="A6" t="str">
            <v>K YIELD</v>
          </cell>
          <cell r="B6">
            <v>0.04</v>
          </cell>
        </row>
        <row r="7">
          <cell r="A7" t="str">
            <v>VALUE VOLATILITY</v>
          </cell>
          <cell r="B7">
            <v>0.2</v>
          </cell>
        </row>
        <row r="8">
          <cell r="A8" t="str">
            <v>K VOLATILITY</v>
          </cell>
          <cell r="B8">
            <v>0.2</v>
          </cell>
        </row>
        <row r="9">
          <cell r="A9" t="str">
            <v>CORRELATION</v>
          </cell>
          <cell r="B9">
            <v>0.5</v>
          </cell>
        </row>
        <row r="10">
          <cell r="A10" t="str">
            <v>EXCHANGE VOLATILITY</v>
          </cell>
          <cell r="B10">
            <v>0.2</v>
          </cell>
        </row>
        <row r="11">
          <cell r="A11" t="str">
            <v xml:space="preserve">V </v>
          </cell>
          <cell r="B11">
            <v>100</v>
          </cell>
        </row>
        <row r="12">
          <cell r="A12" t="str">
            <v>D</v>
          </cell>
          <cell r="B12">
            <v>10</v>
          </cell>
        </row>
        <row r="13">
          <cell r="A13" t="str">
            <v>K</v>
          </cell>
          <cell r="B13">
            <v>90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9"/>
  <sheetViews>
    <sheetView tabSelected="1" topLeftCell="A73" zoomScaleNormal="100" workbookViewId="0">
      <selection sqref="A1:I89"/>
    </sheetView>
  </sheetViews>
  <sheetFormatPr defaultRowHeight="12.75"/>
  <cols>
    <col min="1" max="1" width="10.28515625" bestFit="1" customWidth="1"/>
    <col min="4" max="4" width="33.42578125" customWidth="1"/>
  </cols>
  <sheetData>
    <row r="1" spans="1:10" ht="15.75">
      <c r="C1" s="33" t="s">
        <v>1581</v>
      </c>
      <c r="E1" s="33"/>
      <c r="F1" s="33"/>
      <c r="G1" s="33"/>
      <c r="H1" s="33"/>
      <c r="I1" s="33"/>
      <c r="J1" s="33"/>
    </row>
    <row r="2" spans="1:10">
      <c r="A2" t="s">
        <v>738</v>
      </c>
      <c r="B2" t="s">
        <v>297</v>
      </c>
      <c r="C2" t="s">
        <v>298</v>
      </c>
      <c r="D2" s="34" t="s">
        <v>627</v>
      </c>
      <c r="E2" s="18" t="s">
        <v>1073</v>
      </c>
    </row>
    <row r="3" spans="1:10">
      <c r="B3" s="163">
        <v>1.1000000000000001</v>
      </c>
      <c r="C3" s="163">
        <v>5</v>
      </c>
      <c r="D3" t="s">
        <v>628</v>
      </c>
      <c r="E3" t="s">
        <v>675</v>
      </c>
    </row>
    <row r="4" spans="1:10">
      <c r="B4" s="163">
        <v>1.2</v>
      </c>
      <c r="C4" s="163">
        <v>6</v>
      </c>
      <c r="D4" t="s">
        <v>629</v>
      </c>
      <c r="E4" t="s">
        <v>676</v>
      </c>
    </row>
    <row r="5" spans="1:10">
      <c r="A5" t="s">
        <v>738</v>
      </c>
      <c r="B5" s="163"/>
      <c r="C5" s="163"/>
      <c r="D5" s="34" t="s">
        <v>630</v>
      </c>
      <c r="E5" s="18" t="s">
        <v>1069</v>
      </c>
    </row>
    <row r="6" spans="1:10">
      <c r="B6" s="163">
        <v>2.1</v>
      </c>
      <c r="C6" s="163">
        <v>14</v>
      </c>
      <c r="D6" s="208" t="s">
        <v>453</v>
      </c>
      <c r="E6" t="s">
        <v>456</v>
      </c>
    </row>
    <row r="7" spans="1:10">
      <c r="B7" s="163">
        <v>2.2000000000000002</v>
      </c>
      <c r="C7" s="163">
        <v>15</v>
      </c>
      <c r="D7" s="208" t="s">
        <v>454</v>
      </c>
      <c r="E7" t="s">
        <v>455</v>
      </c>
    </row>
    <row r="8" spans="1:10">
      <c r="B8" s="163">
        <v>2.2999999999999998</v>
      </c>
      <c r="C8" s="163">
        <v>16</v>
      </c>
      <c r="D8" t="s">
        <v>631</v>
      </c>
      <c r="E8" s="13" t="s">
        <v>632</v>
      </c>
    </row>
    <row r="9" spans="1:10">
      <c r="B9" s="163">
        <v>2.4</v>
      </c>
      <c r="C9" s="163">
        <v>18</v>
      </c>
      <c r="D9" t="s">
        <v>677</v>
      </c>
      <c r="E9" s="13" t="s">
        <v>678</v>
      </c>
    </row>
    <row r="10" spans="1:10">
      <c r="B10" s="163">
        <v>2.5</v>
      </c>
      <c r="C10" s="163">
        <v>18</v>
      </c>
      <c r="D10" t="s">
        <v>679</v>
      </c>
      <c r="E10" s="13" t="s">
        <v>680</v>
      </c>
    </row>
    <row r="11" spans="1:10">
      <c r="B11" s="163">
        <v>2.6</v>
      </c>
      <c r="C11" s="163">
        <v>19</v>
      </c>
      <c r="D11" t="s">
        <v>633</v>
      </c>
      <c r="E11" t="s">
        <v>634</v>
      </c>
    </row>
    <row r="12" spans="1:10">
      <c r="B12" s="163">
        <v>2.7</v>
      </c>
      <c r="C12" s="163">
        <v>20</v>
      </c>
      <c r="D12" t="s">
        <v>635</v>
      </c>
      <c r="E12" t="str">
        <f>E11</f>
        <v>Basic Black-Scholes</v>
      </c>
    </row>
    <row r="13" spans="1:10">
      <c r="B13" s="163">
        <v>2.8</v>
      </c>
      <c r="C13" s="163">
        <v>22</v>
      </c>
      <c r="D13" t="s">
        <v>636</v>
      </c>
      <c r="E13" t="str">
        <f>E11</f>
        <v>Basic Black-Scholes</v>
      </c>
    </row>
    <row r="14" spans="1:10">
      <c r="B14" s="163">
        <v>2.9</v>
      </c>
      <c r="C14" s="163">
        <v>23</v>
      </c>
      <c r="D14" t="s">
        <v>637</v>
      </c>
      <c r="E14" t="s">
        <v>638</v>
      </c>
    </row>
    <row r="15" spans="1:10">
      <c r="A15" s="35" t="s">
        <v>738</v>
      </c>
      <c r="B15" s="163"/>
      <c r="C15" s="163"/>
      <c r="D15" s="34" t="s">
        <v>639</v>
      </c>
      <c r="E15" s="18" t="s">
        <v>1070</v>
      </c>
    </row>
    <row r="16" spans="1:10">
      <c r="B16" s="163">
        <v>3.1</v>
      </c>
      <c r="C16" s="163">
        <v>27</v>
      </c>
      <c r="D16" t="s">
        <v>640</v>
      </c>
      <c r="E16" s="13" t="s">
        <v>642</v>
      </c>
    </row>
    <row r="17" spans="1:5">
      <c r="B17" s="163">
        <v>3.2</v>
      </c>
      <c r="C17" s="163">
        <v>29</v>
      </c>
      <c r="D17" t="s">
        <v>643</v>
      </c>
      <c r="E17" s="13" t="s">
        <v>644</v>
      </c>
    </row>
    <row r="18" spans="1:5">
      <c r="B18" s="163">
        <v>3.3</v>
      </c>
      <c r="C18" s="163">
        <v>30</v>
      </c>
      <c r="D18" t="s">
        <v>645</v>
      </c>
      <c r="E18" s="13" t="s">
        <v>646</v>
      </c>
    </row>
    <row r="19" spans="1:5">
      <c r="B19" s="163">
        <v>3.4</v>
      </c>
      <c r="C19" s="163">
        <v>30</v>
      </c>
      <c r="D19" t="s">
        <v>647</v>
      </c>
      <c r="E19" s="13" t="s">
        <v>648</v>
      </c>
    </row>
    <row r="20" spans="1:5">
      <c r="B20" s="163">
        <v>3.5</v>
      </c>
      <c r="C20" s="163">
        <v>31</v>
      </c>
      <c r="D20" t="s">
        <v>649</v>
      </c>
      <c r="E20" s="13" t="s">
        <v>650</v>
      </c>
    </row>
    <row r="21" spans="1:5">
      <c r="B21" s="163">
        <v>3.6</v>
      </c>
      <c r="C21" s="163">
        <v>32</v>
      </c>
      <c r="D21" t="s">
        <v>651</v>
      </c>
      <c r="E21" s="13" t="s">
        <v>652</v>
      </c>
    </row>
    <row r="22" spans="1:5">
      <c r="B22" s="163">
        <v>3.7</v>
      </c>
      <c r="C22" s="163">
        <v>33</v>
      </c>
      <c r="D22" s="35" t="s">
        <v>761</v>
      </c>
      <c r="E22" s="13" t="s">
        <v>753</v>
      </c>
    </row>
    <row r="23" spans="1:5">
      <c r="B23" s="163">
        <v>3.8</v>
      </c>
      <c r="C23" s="163">
        <v>34</v>
      </c>
      <c r="D23" s="35" t="s">
        <v>762</v>
      </c>
      <c r="E23" s="249" t="s">
        <v>763</v>
      </c>
    </row>
    <row r="24" spans="1:5">
      <c r="B24" s="163">
        <v>3.9</v>
      </c>
      <c r="C24" s="163">
        <v>36</v>
      </c>
      <c r="D24" t="s">
        <v>653</v>
      </c>
      <c r="E24" t="s">
        <v>681</v>
      </c>
    </row>
    <row r="25" spans="1:5">
      <c r="A25" s="35" t="s">
        <v>739</v>
      </c>
      <c r="B25" s="163"/>
      <c r="C25" s="163"/>
      <c r="D25" s="34" t="s">
        <v>654</v>
      </c>
      <c r="E25" s="20" t="s">
        <v>1395</v>
      </c>
    </row>
    <row r="26" spans="1:5">
      <c r="B26" s="163">
        <v>4.0999999999999996</v>
      </c>
      <c r="C26" s="163">
        <v>39</v>
      </c>
      <c r="D26" t="s">
        <v>655</v>
      </c>
      <c r="E26" s="249" t="s">
        <v>1440</v>
      </c>
    </row>
    <row r="27" spans="1:5">
      <c r="B27" s="163">
        <v>4.2</v>
      </c>
      <c r="C27" s="163">
        <v>39</v>
      </c>
      <c r="D27" t="s">
        <v>656</v>
      </c>
      <c r="E27" t="str">
        <f>E26</f>
        <v>American Perpetual Call Option</v>
      </c>
    </row>
    <row r="28" spans="1:5">
      <c r="B28" s="163">
        <v>4.3</v>
      </c>
      <c r="C28" s="163">
        <v>40</v>
      </c>
      <c r="D28" t="s">
        <v>589</v>
      </c>
      <c r="E28" t="s">
        <v>682</v>
      </c>
    </row>
    <row r="29" spans="1:5">
      <c r="B29" s="163">
        <v>4.4000000000000004</v>
      </c>
      <c r="C29" s="163">
        <v>41</v>
      </c>
      <c r="D29" t="s">
        <v>658</v>
      </c>
      <c r="E29" t="s">
        <v>683</v>
      </c>
    </row>
    <row r="30" spans="1:5">
      <c r="B30" s="163">
        <v>4.5</v>
      </c>
      <c r="C30" s="163">
        <v>45</v>
      </c>
      <c r="D30" t="s">
        <v>684</v>
      </c>
      <c r="E30" s="35" t="s">
        <v>1396</v>
      </c>
    </row>
    <row r="31" spans="1:5">
      <c r="B31" s="163">
        <v>4.5999999999999996</v>
      </c>
      <c r="C31" s="163">
        <v>47</v>
      </c>
      <c r="D31" t="s">
        <v>659</v>
      </c>
      <c r="E31" t="s">
        <v>660</v>
      </c>
    </row>
    <row r="32" spans="1:5">
      <c r="B32" s="163">
        <v>4.7</v>
      </c>
      <c r="C32" s="163"/>
      <c r="D32" s="35" t="s">
        <v>1438</v>
      </c>
      <c r="E32" s="249" t="s">
        <v>1441</v>
      </c>
    </row>
    <row r="33" spans="1:5">
      <c r="B33" s="163">
        <v>4.8</v>
      </c>
      <c r="C33" s="163"/>
      <c r="D33" s="35" t="s">
        <v>1439</v>
      </c>
      <c r="E33" s="249" t="s">
        <v>1444</v>
      </c>
    </row>
    <row r="34" spans="1:5">
      <c r="B34" s="163">
        <v>4.9000000000000004</v>
      </c>
      <c r="C34" s="163"/>
      <c r="D34" s="35" t="s">
        <v>1442</v>
      </c>
      <c r="E34" s="35" t="s">
        <v>1443</v>
      </c>
    </row>
    <row r="35" spans="1:5">
      <c r="A35" s="35" t="s">
        <v>1089</v>
      </c>
      <c r="B35" s="163"/>
      <c r="C35" s="163"/>
      <c r="D35" s="34" t="s">
        <v>661</v>
      </c>
      <c r="E35" s="18" t="s">
        <v>1393</v>
      </c>
    </row>
    <row r="36" spans="1:5">
      <c r="B36" s="163">
        <v>5.0999999999999996</v>
      </c>
      <c r="C36" s="163">
        <v>55</v>
      </c>
      <c r="D36" t="s">
        <v>685</v>
      </c>
      <c r="E36" t="s">
        <v>662</v>
      </c>
    </row>
    <row r="37" spans="1:5">
      <c r="B37" s="163">
        <v>5.2</v>
      </c>
      <c r="C37" s="163">
        <v>56</v>
      </c>
      <c r="D37" t="s">
        <v>686</v>
      </c>
      <c r="E37" t="s">
        <v>687</v>
      </c>
    </row>
    <row r="38" spans="1:5">
      <c r="B38" s="163">
        <v>5.3</v>
      </c>
      <c r="C38" s="163">
        <v>57</v>
      </c>
      <c r="D38" t="s">
        <v>688</v>
      </c>
      <c r="E38" t="s">
        <v>689</v>
      </c>
    </row>
    <row r="39" spans="1:5">
      <c r="B39" s="163">
        <v>5.4</v>
      </c>
      <c r="C39" s="163">
        <v>60</v>
      </c>
      <c r="D39" t="s">
        <v>690</v>
      </c>
      <c r="E39" t="s">
        <v>657</v>
      </c>
    </row>
    <row r="40" spans="1:5">
      <c r="B40" s="163">
        <v>5.5</v>
      </c>
      <c r="C40" s="163">
        <v>61</v>
      </c>
      <c r="D40" t="s">
        <v>691</v>
      </c>
      <c r="E40" t="s">
        <v>692</v>
      </c>
    </row>
    <row r="41" spans="1:5">
      <c r="A41" s="35" t="s">
        <v>1089</v>
      </c>
      <c r="B41" s="163"/>
      <c r="C41" s="163"/>
      <c r="D41" s="18" t="s">
        <v>995</v>
      </c>
      <c r="E41" s="18" t="s">
        <v>1394</v>
      </c>
    </row>
    <row r="42" spans="1:5">
      <c r="B42" s="163">
        <v>6.1</v>
      </c>
      <c r="C42" s="302" t="s">
        <v>553</v>
      </c>
      <c r="D42" s="35" t="s">
        <v>996</v>
      </c>
    </row>
    <row r="43" spans="1:5">
      <c r="B43" s="163">
        <v>6.2</v>
      </c>
      <c r="C43" s="302" t="s">
        <v>553</v>
      </c>
      <c r="D43" s="35" t="s">
        <v>997</v>
      </c>
    </row>
    <row r="44" spans="1:5">
      <c r="A44" s="35" t="s">
        <v>1580</v>
      </c>
      <c r="B44" s="163"/>
      <c r="C44" s="163"/>
      <c r="D44" s="18" t="s">
        <v>998</v>
      </c>
      <c r="E44" s="18" t="s">
        <v>1392</v>
      </c>
    </row>
    <row r="45" spans="1:5">
      <c r="A45" s="35"/>
      <c r="B45" s="163">
        <v>7.1</v>
      </c>
      <c r="C45" s="163"/>
      <c r="D45" s="35" t="s">
        <v>1220</v>
      </c>
      <c r="E45" t="s">
        <v>1221</v>
      </c>
    </row>
    <row r="46" spans="1:5">
      <c r="A46" s="35"/>
      <c r="B46" s="163">
        <v>7.2</v>
      </c>
      <c r="C46" s="163"/>
      <c r="D46" s="35" t="s">
        <v>1222</v>
      </c>
      <c r="E46" t="s">
        <v>1223</v>
      </c>
    </row>
    <row r="47" spans="1:5">
      <c r="A47" s="35"/>
      <c r="B47" s="163">
        <v>7.4</v>
      </c>
      <c r="C47" s="163" t="s">
        <v>553</v>
      </c>
      <c r="D47" s="35" t="s">
        <v>1505</v>
      </c>
      <c r="E47" s="35" t="s">
        <v>1506</v>
      </c>
    </row>
    <row r="48" spans="1:5">
      <c r="A48" s="35"/>
      <c r="B48" s="163">
        <v>7.5</v>
      </c>
      <c r="C48" s="163" t="s">
        <v>553</v>
      </c>
      <c r="D48" s="35" t="s">
        <v>1507</v>
      </c>
      <c r="E48" s="35" t="s">
        <v>1508</v>
      </c>
    </row>
    <row r="49" spans="1:5">
      <c r="B49" s="302" t="s">
        <v>553</v>
      </c>
      <c r="C49" s="302" t="s">
        <v>553</v>
      </c>
      <c r="D49" s="35" t="s">
        <v>1224</v>
      </c>
      <c r="E49" s="35" t="s">
        <v>1091</v>
      </c>
    </row>
    <row r="50" spans="1:5">
      <c r="A50" s="35" t="s">
        <v>1577</v>
      </c>
      <c r="B50" s="163"/>
      <c r="C50" s="163"/>
      <c r="D50" s="34" t="s">
        <v>667</v>
      </c>
      <c r="E50" s="18" t="s">
        <v>1071</v>
      </c>
    </row>
    <row r="51" spans="1:5">
      <c r="B51" s="163">
        <v>8.1</v>
      </c>
      <c r="C51" s="163" t="s">
        <v>553</v>
      </c>
      <c r="D51" t="s">
        <v>663</v>
      </c>
      <c r="E51" t="s">
        <v>664</v>
      </c>
    </row>
    <row r="52" spans="1:5">
      <c r="B52" s="163" t="s">
        <v>1016</v>
      </c>
      <c r="C52" s="163" t="s">
        <v>553</v>
      </c>
      <c r="D52" t="s">
        <v>665</v>
      </c>
      <c r="E52" t="s">
        <v>666</v>
      </c>
    </row>
    <row r="53" spans="1:5">
      <c r="B53" s="163" t="s">
        <v>553</v>
      </c>
      <c r="C53" s="163" t="s">
        <v>553</v>
      </c>
      <c r="D53" t="s">
        <v>1017</v>
      </c>
      <c r="E53" t="s">
        <v>673</v>
      </c>
    </row>
    <row r="54" spans="1:5">
      <c r="B54" s="163">
        <v>8.4</v>
      </c>
      <c r="C54" s="163"/>
      <c r="D54" t="s">
        <v>1018</v>
      </c>
      <c r="E54" t="s">
        <v>1019</v>
      </c>
    </row>
    <row r="55" spans="1:5">
      <c r="B55" s="163" t="s">
        <v>1015</v>
      </c>
      <c r="C55" s="163"/>
      <c r="D55" t="s">
        <v>549</v>
      </c>
      <c r="E55" t="s">
        <v>1021</v>
      </c>
    </row>
    <row r="56" spans="1:5">
      <c r="B56" s="163">
        <v>8.6999999999999993</v>
      </c>
      <c r="C56" s="163" t="s">
        <v>553</v>
      </c>
      <c r="D56" t="s">
        <v>1020</v>
      </c>
      <c r="E56" t="s">
        <v>1022</v>
      </c>
    </row>
    <row r="57" spans="1:5">
      <c r="B57" s="163">
        <v>8.8000000000000007</v>
      </c>
      <c r="C57" s="163" t="s">
        <v>553</v>
      </c>
      <c r="D57" t="s">
        <v>550</v>
      </c>
      <c r="E57" t="s">
        <v>674</v>
      </c>
    </row>
    <row r="58" spans="1:5">
      <c r="A58" s="35" t="s">
        <v>1089</v>
      </c>
      <c r="B58" s="163"/>
      <c r="C58" s="163" t="s">
        <v>553</v>
      </c>
      <c r="D58" s="34" t="s">
        <v>668</v>
      </c>
      <c r="E58" s="18" t="s">
        <v>1072</v>
      </c>
    </row>
    <row r="59" spans="1:5">
      <c r="B59" s="163">
        <v>9.1</v>
      </c>
      <c r="C59" s="163" t="s">
        <v>553</v>
      </c>
      <c r="D59" t="s">
        <v>551</v>
      </c>
      <c r="E59" t="s">
        <v>671</v>
      </c>
    </row>
    <row r="60" spans="1:5">
      <c r="B60" s="163">
        <v>9.1999999999999993</v>
      </c>
      <c r="C60" s="163" t="s">
        <v>553</v>
      </c>
      <c r="D60" t="s">
        <v>299</v>
      </c>
      <c r="E60" t="s">
        <v>1023</v>
      </c>
    </row>
    <row r="61" spans="1:5">
      <c r="B61" s="163">
        <v>9.3000000000000007</v>
      </c>
      <c r="C61" s="163" t="s">
        <v>553</v>
      </c>
      <c r="D61" t="s">
        <v>300</v>
      </c>
      <c r="E61" t="s">
        <v>1024</v>
      </c>
    </row>
    <row r="62" spans="1:5">
      <c r="B62" s="163">
        <v>9.4</v>
      </c>
      <c r="C62" s="163" t="s">
        <v>553</v>
      </c>
      <c r="D62" t="s">
        <v>670</v>
      </c>
      <c r="E62" t="s">
        <v>672</v>
      </c>
    </row>
    <row r="63" spans="1:5">
      <c r="B63" s="163">
        <v>9.5</v>
      </c>
      <c r="C63" s="163" t="s">
        <v>553</v>
      </c>
      <c r="D63" t="s">
        <v>302</v>
      </c>
      <c r="E63" t="s">
        <v>301</v>
      </c>
    </row>
    <row r="64" spans="1:5">
      <c r="B64" s="163">
        <v>9.6</v>
      </c>
      <c r="C64" s="163" t="s">
        <v>553</v>
      </c>
      <c r="D64" t="s">
        <v>552</v>
      </c>
      <c r="E64" t="s">
        <v>303</v>
      </c>
    </row>
    <row r="65" spans="1:5">
      <c r="A65" s="35" t="s">
        <v>1578</v>
      </c>
      <c r="B65" s="163"/>
      <c r="C65" s="163" t="s">
        <v>553</v>
      </c>
      <c r="D65" s="34" t="s">
        <v>669</v>
      </c>
      <c r="E65" s="18" t="s">
        <v>1090</v>
      </c>
    </row>
    <row r="66" spans="1:5">
      <c r="B66" s="302" t="s">
        <v>1379</v>
      </c>
      <c r="C66" s="163" t="s">
        <v>553</v>
      </c>
      <c r="D66" s="35" t="s">
        <v>1380</v>
      </c>
      <c r="E66" s="35" t="s">
        <v>1381</v>
      </c>
    </row>
    <row r="67" spans="1:5">
      <c r="B67" s="302" t="s">
        <v>1382</v>
      </c>
      <c r="C67" s="163"/>
      <c r="D67" s="35" t="s">
        <v>1383</v>
      </c>
      <c r="E67" t="s">
        <v>801</v>
      </c>
    </row>
    <row r="68" spans="1:5">
      <c r="B68" s="302" t="s">
        <v>1384</v>
      </c>
      <c r="C68" s="163"/>
      <c r="D68" s="35" t="s">
        <v>1385</v>
      </c>
      <c r="E68" t="s">
        <v>801</v>
      </c>
    </row>
    <row r="69" spans="1:5">
      <c r="B69" s="163">
        <v>10.199999999999999</v>
      </c>
      <c r="C69" s="163"/>
      <c r="D69" s="35" t="s">
        <v>1390</v>
      </c>
      <c r="E69" t="s">
        <v>801</v>
      </c>
    </row>
    <row r="70" spans="1:5">
      <c r="B70" s="365">
        <v>10.1</v>
      </c>
      <c r="C70" s="163"/>
      <c r="D70" s="35" t="s">
        <v>1386</v>
      </c>
      <c r="E70" s="35" t="s">
        <v>1389</v>
      </c>
    </row>
    <row r="71" spans="1:5">
      <c r="B71" s="163">
        <v>10.119999999999999</v>
      </c>
      <c r="C71" s="163"/>
      <c r="D71" s="35" t="s">
        <v>1387</v>
      </c>
      <c r="E71" s="35" t="s">
        <v>1388</v>
      </c>
    </row>
    <row r="72" spans="1:5">
      <c r="A72" s="35" t="s">
        <v>1579</v>
      </c>
      <c r="B72" s="163"/>
      <c r="C72" s="163" t="s">
        <v>553</v>
      </c>
      <c r="D72" s="18" t="s">
        <v>754</v>
      </c>
      <c r="E72" s="18" t="s">
        <v>1074</v>
      </c>
    </row>
    <row r="73" spans="1:5">
      <c r="B73" s="163">
        <v>11.1</v>
      </c>
      <c r="C73" s="163" t="s">
        <v>553</v>
      </c>
      <c r="D73" t="s">
        <v>756</v>
      </c>
      <c r="E73" s="35" t="s">
        <v>1006</v>
      </c>
    </row>
    <row r="74" spans="1:5">
      <c r="B74" s="302" t="s">
        <v>1084</v>
      </c>
      <c r="C74" s="163" t="s">
        <v>553</v>
      </c>
      <c r="D74" t="s">
        <v>757</v>
      </c>
      <c r="E74" s="35" t="s">
        <v>1085</v>
      </c>
    </row>
    <row r="75" spans="1:5">
      <c r="B75" s="163">
        <v>11.3</v>
      </c>
      <c r="C75" s="163" t="s">
        <v>553</v>
      </c>
      <c r="D75" s="35" t="s">
        <v>1008</v>
      </c>
      <c r="E75" s="35" t="s">
        <v>1007</v>
      </c>
    </row>
    <row r="76" spans="1:5">
      <c r="B76" s="163"/>
      <c r="C76" s="163"/>
      <c r="D76" s="35" t="s">
        <v>1025</v>
      </c>
      <c r="E76" s="35" t="s">
        <v>1026</v>
      </c>
    </row>
    <row r="77" spans="1:5">
      <c r="B77" s="163">
        <v>11.6</v>
      </c>
      <c r="C77" s="163" t="s">
        <v>553</v>
      </c>
      <c r="D77" s="35" t="s">
        <v>758</v>
      </c>
      <c r="E77" s="35" t="s">
        <v>1086</v>
      </c>
    </row>
    <row r="78" spans="1:5">
      <c r="B78" s="163">
        <v>11.7</v>
      </c>
      <c r="C78" s="163"/>
      <c r="D78" s="35" t="s">
        <v>759</v>
      </c>
      <c r="E78" s="35" t="s">
        <v>1087</v>
      </c>
    </row>
    <row r="79" spans="1:5">
      <c r="B79" s="163">
        <v>11.8</v>
      </c>
      <c r="C79" s="163"/>
      <c r="D79" s="35" t="s">
        <v>760</v>
      </c>
      <c r="E79" s="35" t="s">
        <v>1088</v>
      </c>
    </row>
    <row r="80" spans="1:5">
      <c r="A80" s="35" t="s">
        <v>1579</v>
      </c>
      <c r="B80" s="163"/>
      <c r="C80" s="163" t="s">
        <v>553</v>
      </c>
      <c r="D80" s="18" t="s">
        <v>755</v>
      </c>
      <c r="E80" s="18" t="s">
        <v>1075</v>
      </c>
    </row>
    <row r="81" spans="2:8">
      <c r="B81" s="163">
        <v>12.1</v>
      </c>
      <c r="C81" s="163" t="s">
        <v>553</v>
      </c>
      <c r="D81" s="35" t="s">
        <v>605</v>
      </c>
      <c r="E81" s="35" t="s">
        <v>1010</v>
      </c>
    </row>
    <row r="82" spans="2:8">
      <c r="B82" s="163">
        <v>12.2</v>
      </c>
      <c r="C82" s="163" t="s">
        <v>553</v>
      </c>
      <c r="D82" s="35" t="s">
        <v>999</v>
      </c>
      <c r="E82" s="35" t="s">
        <v>1009</v>
      </c>
    </row>
    <row r="83" spans="2:8">
      <c r="B83" s="163">
        <v>12.3</v>
      </c>
      <c r="C83" s="163" t="s">
        <v>553</v>
      </c>
      <c r="D83" s="35" t="s">
        <v>1000</v>
      </c>
      <c r="E83" s="35" t="s">
        <v>1011</v>
      </c>
    </row>
    <row r="84" spans="2:8">
      <c r="B84" s="163">
        <v>12.4</v>
      </c>
      <c r="C84" s="163" t="s">
        <v>553</v>
      </c>
      <c r="D84" s="35" t="s">
        <v>1001</v>
      </c>
      <c r="E84" s="35" t="s">
        <v>1012</v>
      </c>
    </row>
    <row r="85" spans="2:8">
      <c r="B85" s="163">
        <v>12.5</v>
      </c>
      <c r="C85" s="163" t="s">
        <v>553</v>
      </c>
      <c r="D85" s="35" t="s">
        <v>1002</v>
      </c>
      <c r="E85" s="35" t="s">
        <v>1009</v>
      </c>
    </row>
    <row r="86" spans="2:8">
      <c r="B86" s="163">
        <v>12.6</v>
      </c>
      <c r="C86" s="163" t="s">
        <v>553</v>
      </c>
      <c r="D86" s="35" t="s">
        <v>1003</v>
      </c>
      <c r="E86" s="35" t="s">
        <v>1012</v>
      </c>
    </row>
    <row r="87" spans="2:8">
      <c r="B87" s="163">
        <v>12.7</v>
      </c>
      <c r="C87" s="163"/>
      <c r="D87" s="35" t="s">
        <v>1004</v>
      </c>
      <c r="E87" s="35" t="s">
        <v>1013</v>
      </c>
      <c r="H87" s="35" t="s">
        <v>553</v>
      </c>
    </row>
    <row r="88" spans="2:8">
      <c r="B88" s="163">
        <v>12.9</v>
      </c>
      <c r="C88" s="163"/>
      <c r="D88" s="35" t="s">
        <v>1005</v>
      </c>
      <c r="E88" s="35" t="s">
        <v>1014</v>
      </c>
      <c r="H88" s="35" t="s">
        <v>553</v>
      </c>
    </row>
    <row r="89" spans="2:8">
      <c r="B89" s="35" t="s">
        <v>1391</v>
      </c>
    </row>
  </sheetData>
  <customSheetViews>
    <customSheetView guid="{5EBE86A6-E484-4409-9173-9C7E8878B5E9}" showRuler="0">
      <selection activeCell="F3" sqref="F3"/>
      <pageMargins left="0.74803149606299213" right="0.74803149606299213" top="0.49" bottom="0.12" header="0.51181102362204722" footer="0.26"/>
      <printOptions horizontalCentered="1" verticalCentered="1"/>
      <pageSetup paperSize="9" scale="80" orientation="portrait" horizontalDpi="0" verticalDpi="0" r:id="rId1"/>
      <headerFooter alignWithMargins="0"/>
    </customSheetView>
  </customSheetViews>
  <phoneticPr fontId="8" type="noConversion"/>
  <printOptions horizontalCentered="1" verticalCentered="1"/>
  <pageMargins left="0.74803149606299202" right="0.74803149606299202" top="0.47244094488188998" bottom="0.118110236220472" header="0.511811023622047" footer="0.27559055118110198"/>
  <pageSetup paperSize="9" scale="70" orientation="portrait" horizontalDpi="4294967293" verticalDpi="4294967293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4"/>
  <sheetViews>
    <sheetView topLeftCell="A11" workbookViewId="0">
      <selection activeCell="B25" sqref="B25"/>
    </sheetView>
  </sheetViews>
  <sheetFormatPr defaultRowHeight="12.75"/>
  <cols>
    <col min="1" max="1" width="22" bestFit="1" customWidth="1"/>
    <col min="2" max="14" width="5.7109375" customWidth="1"/>
  </cols>
  <sheetData>
    <row r="1" spans="1:15" ht="18.75">
      <c r="A1" s="36" t="s">
        <v>458</v>
      </c>
      <c r="B1" s="36"/>
      <c r="C1" s="36"/>
      <c r="D1" s="36"/>
      <c r="E1" s="36"/>
      <c r="F1" s="36"/>
    </row>
    <row r="2" spans="1:15" ht="18.75">
      <c r="A2" s="36" t="s">
        <v>627</v>
      </c>
      <c r="B2" s="36"/>
      <c r="C2" s="36"/>
      <c r="D2" s="36"/>
      <c r="E2" s="36"/>
      <c r="F2" s="36"/>
    </row>
    <row r="3" spans="1:15">
      <c r="A3" t="s">
        <v>700</v>
      </c>
      <c r="B3">
        <v>0</v>
      </c>
      <c r="C3">
        <v>25</v>
      </c>
      <c r="D3">
        <f>C3+25</f>
        <v>50</v>
      </c>
      <c r="E3">
        <f t="shared" ref="E3:N3" si="0">D3+25</f>
        <v>75</v>
      </c>
      <c r="F3">
        <f t="shared" si="0"/>
        <v>100</v>
      </c>
      <c r="G3">
        <f t="shared" si="0"/>
        <v>125</v>
      </c>
      <c r="H3">
        <f t="shared" si="0"/>
        <v>150</v>
      </c>
      <c r="I3">
        <f t="shared" si="0"/>
        <v>175</v>
      </c>
      <c r="J3">
        <f t="shared" si="0"/>
        <v>200</v>
      </c>
      <c r="K3">
        <f t="shared" si="0"/>
        <v>225</v>
      </c>
      <c r="L3">
        <f t="shared" si="0"/>
        <v>250</v>
      </c>
      <c r="M3">
        <f t="shared" si="0"/>
        <v>275</v>
      </c>
      <c r="N3">
        <f t="shared" si="0"/>
        <v>300</v>
      </c>
    </row>
    <row r="4" spans="1:15">
      <c r="A4" t="s">
        <v>694</v>
      </c>
      <c r="B4">
        <f>B24</f>
        <v>100</v>
      </c>
      <c r="C4">
        <f>B4</f>
        <v>100</v>
      </c>
      <c r="D4">
        <f t="shared" ref="D4:N4" si="1">C4</f>
        <v>100</v>
      </c>
      <c r="E4">
        <f t="shared" si="1"/>
        <v>100</v>
      </c>
      <c r="F4">
        <f t="shared" si="1"/>
        <v>100</v>
      </c>
      <c r="G4">
        <f t="shared" si="1"/>
        <v>100</v>
      </c>
      <c r="H4">
        <f t="shared" si="1"/>
        <v>100</v>
      </c>
      <c r="I4">
        <f t="shared" si="1"/>
        <v>100</v>
      </c>
      <c r="J4">
        <f t="shared" si="1"/>
        <v>100</v>
      </c>
      <c r="K4">
        <f t="shared" si="1"/>
        <v>100</v>
      </c>
      <c r="L4">
        <f t="shared" si="1"/>
        <v>100</v>
      </c>
      <c r="M4">
        <f t="shared" si="1"/>
        <v>100</v>
      </c>
      <c r="N4">
        <f t="shared" si="1"/>
        <v>100</v>
      </c>
    </row>
    <row r="5" spans="1:15">
      <c r="A5" t="s">
        <v>459</v>
      </c>
      <c r="B5">
        <f>IF(B3&gt;B4,B3-B4,0)</f>
        <v>0</v>
      </c>
      <c r="C5">
        <f t="shared" ref="C5:M5" si="2">IF(C3&gt;C4,C3-C4,0)</f>
        <v>0</v>
      </c>
      <c r="D5">
        <f t="shared" si="2"/>
        <v>0</v>
      </c>
      <c r="E5">
        <f t="shared" si="2"/>
        <v>0</v>
      </c>
      <c r="F5">
        <f t="shared" si="2"/>
        <v>0</v>
      </c>
      <c r="G5">
        <f t="shared" si="2"/>
        <v>25</v>
      </c>
      <c r="H5">
        <f t="shared" si="2"/>
        <v>50</v>
      </c>
      <c r="I5">
        <f t="shared" si="2"/>
        <v>75</v>
      </c>
      <c r="J5">
        <f t="shared" si="2"/>
        <v>100</v>
      </c>
      <c r="K5">
        <f t="shared" si="2"/>
        <v>125</v>
      </c>
      <c r="L5">
        <f t="shared" si="2"/>
        <v>150</v>
      </c>
      <c r="M5">
        <f t="shared" si="2"/>
        <v>175</v>
      </c>
      <c r="N5">
        <f>IF(N3&gt;N4,N3-N4,0)</f>
        <v>200</v>
      </c>
      <c r="O5" t="s">
        <v>702</v>
      </c>
    </row>
    <row r="24" spans="1:2">
      <c r="A24" t="s">
        <v>694</v>
      </c>
      <c r="B24">
        <v>100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4"/>
  <sheetViews>
    <sheetView topLeftCell="A10" workbookViewId="0">
      <selection activeCell="F36" sqref="F36"/>
    </sheetView>
  </sheetViews>
  <sheetFormatPr defaultRowHeight="12.75"/>
  <cols>
    <col min="1" max="1" width="15.7109375" bestFit="1" customWidth="1"/>
    <col min="2" max="2" width="6.140625" customWidth="1"/>
    <col min="3" max="9" width="5.7109375" customWidth="1"/>
    <col min="10" max="13" width="6.5703125" customWidth="1"/>
    <col min="14" max="14" width="7.140625" customWidth="1"/>
  </cols>
  <sheetData>
    <row r="1" spans="1:14" ht="18.75">
      <c r="A1" s="36" t="s">
        <v>458</v>
      </c>
      <c r="B1" s="36"/>
      <c r="C1" s="36"/>
      <c r="D1" s="36"/>
      <c r="E1" s="36"/>
      <c r="F1" s="36"/>
    </row>
    <row r="2" spans="1:14" ht="18.75">
      <c r="A2" s="36" t="s">
        <v>627</v>
      </c>
      <c r="B2" s="36"/>
      <c r="C2" s="36"/>
      <c r="D2" s="36"/>
      <c r="E2" s="36"/>
      <c r="F2" s="36"/>
    </row>
    <row r="3" spans="1:14">
      <c r="A3" t="s">
        <v>700</v>
      </c>
      <c r="B3" s="30">
        <v>1E-8</v>
      </c>
      <c r="C3" s="37">
        <v>25</v>
      </c>
      <c r="D3" s="37">
        <f>C3+25</f>
        <v>50</v>
      </c>
      <c r="E3" s="37">
        <f t="shared" ref="E3:N3" si="0">D3+25</f>
        <v>75</v>
      </c>
      <c r="F3" s="37">
        <f t="shared" si="0"/>
        <v>100</v>
      </c>
      <c r="G3" s="37">
        <f t="shared" si="0"/>
        <v>125</v>
      </c>
      <c r="H3" s="37">
        <f t="shared" si="0"/>
        <v>150</v>
      </c>
      <c r="I3" s="37">
        <f t="shared" si="0"/>
        <v>175</v>
      </c>
      <c r="J3" s="37">
        <f t="shared" si="0"/>
        <v>200</v>
      </c>
      <c r="K3" s="37">
        <f t="shared" si="0"/>
        <v>225</v>
      </c>
      <c r="L3" s="37">
        <f t="shared" si="0"/>
        <v>250</v>
      </c>
      <c r="M3" s="37">
        <f t="shared" si="0"/>
        <v>275</v>
      </c>
      <c r="N3" s="37">
        <f t="shared" si="0"/>
        <v>300</v>
      </c>
    </row>
    <row r="4" spans="1:14">
      <c r="A4" t="s">
        <v>694</v>
      </c>
      <c r="B4" s="37">
        <f>B32</f>
        <v>100</v>
      </c>
      <c r="C4" s="37">
        <f>B4</f>
        <v>100</v>
      </c>
      <c r="D4" s="37">
        <f t="shared" ref="D4:N7" si="1">C4</f>
        <v>100</v>
      </c>
      <c r="E4" s="37">
        <f t="shared" si="1"/>
        <v>100</v>
      </c>
      <c r="F4" s="37">
        <f t="shared" si="1"/>
        <v>100</v>
      </c>
      <c r="G4" s="37">
        <f t="shared" si="1"/>
        <v>100</v>
      </c>
      <c r="H4" s="37">
        <f t="shared" si="1"/>
        <v>100</v>
      </c>
      <c r="I4" s="37">
        <f t="shared" si="1"/>
        <v>100</v>
      </c>
      <c r="J4" s="37">
        <f t="shared" si="1"/>
        <v>100</v>
      </c>
      <c r="K4" s="37">
        <f t="shared" si="1"/>
        <v>100</v>
      </c>
      <c r="L4" s="37">
        <f t="shared" si="1"/>
        <v>100</v>
      </c>
      <c r="M4" s="37">
        <f t="shared" si="1"/>
        <v>100</v>
      </c>
      <c r="N4" s="37">
        <f t="shared" si="1"/>
        <v>100</v>
      </c>
    </row>
    <row r="5" spans="1:14">
      <c r="A5" s="13" t="s">
        <v>698</v>
      </c>
      <c r="B5" s="38">
        <v>0.05</v>
      </c>
      <c r="C5" s="38">
        <f>B5</f>
        <v>0.05</v>
      </c>
      <c r="D5" s="38">
        <f t="shared" si="1"/>
        <v>0.05</v>
      </c>
      <c r="E5" s="38">
        <f t="shared" si="1"/>
        <v>0.05</v>
      </c>
      <c r="F5" s="38">
        <f t="shared" si="1"/>
        <v>0.05</v>
      </c>
      <c r="G5" s="38">
        <f t="shared" si="1"/>
        <v>0.05</v>
      </c>
      <c r="H5" s="38">
        <f t="shared" si="1"/>
        <v>0.05</v>
      </c>
      <c r="I5" s="38">
        <f t="shared" si="1"/>
        <v>0.05</v>
      </c>
      <c r="J5" s="38">
        <f t="shared" si="1"/>
        <v>0.05</v>
      </c>
      <c r="K5" s="38">
        <f t="shared" si="1"/>
        <v>0.05</v>
      </c>
      <c r="L5" s="38">
        <f t="shared" si="1"/>
        <v>0.05</v>
      </c>
      <c r="M5" s="38">
        <f t="shared" si="1"/>
        <v>0.05</v>
      </c>
      <c r="N5" s="38">
        <f t="shared" si="1"/>
        <v>0.05</v>
      </c>
    </row>
    <row r="6" spans="1:14">
      <c r="A6" s="13" t="s">
        <v>589</v>
      </c>
      <c r="B6" s="38">
        <f>B34</f>
        <v>0.5</v>
      </c>
      <c r="C6" s="38">
        <f>B6</f>
        <v>0.5</v>
      </c>
      <c r="D6" s="38">
        <f t="shared" si="1"/>
        <v>0.5</v>
      </c>
      <c r="E6" s="38">
        <f t="shared" si="1"/>
        <v>0.5</v>
      </c>
      <c r="F6" s="38">
        <f t="shared" si="1"/>
        <v>0.5</v>
      </c>
      <c r="G6" s="38">
        <f t="shared" si="1"/>
        <v>0.5</v>
      </c>
      <c r="H6" s="38">
        <f t="shared" si="1"/>
        <v>0.5</v>
      </c>
      <c r="I6" s="38">
        <f t="shared" si="1"/>
        <v>0.5</v>
      </c>
      <c r="J6" s="38">
        <f t="shared" si="1"/>
        <v>0.5</v>
      </c>
      <c r="K6" s="38">
        <f t="shared" si="1"/>
        <v>0.5</v>
      </c>
      <c r="L6" s="38">
        <f t="shared" si="1"/>
        <v>0.5</v>
      </c>
      <c r="M6" s="38">
        <f t="shared" si="1"/>
        <v>0.5</v>
      </c>
      <c r="N6" s="38">
        <f t="shared" si="1"/>
        <v>0.5</v>
      </c>
    </row>
    <row r="7" spans="1:14">
      <c r="A7" s="13" t="s">
        <v>696</v>
      </c>
      <c r="B7" s="38">
        <f>B33</f>
        <v>2</v>
      </c>
      <c r="C7" s="38">
        <f>B7</f>
        <v>2</v>
      </c>
      <c r="D7" s="38">
        <f t="shared" si="1"/>
        <v>2</v>
      </c>
      <c r="E7" s="38">
        <f t="shared" si="1"/>
        <v>2</v>
      </c>
      <c r="F7" s="38">
        <f t="shared" si="1"/>
        <v>2</v>
      </c>
      <c r="G7" s="38">
        <f t="shared" si="1"/>
        <v>2</v>
      </c>
      <c r="H7" s="38">
        <f t="shared" si="1"/>
        <v>2</v>
      </c>
      <c r="I7" s="38">
        <f t="shared" si="1"/>
        <v>2</v>
      </c>
      <c r="J7" s="38">
        <f t="shared" si="1"/>
        <v>2</v>
      </c>
      <c r="K7" s="38">
        <f t="shared" si="1"/>
        <v>2</v>
      </c>
      <c r="L7" s="38">
        <f t="shared" si="1"/>
        <v>2</v>
      </c>
      <c r="M7" s="38">
        <f t="shared" si="1"/>
        <v>2</v>
      </c>
      <c r="N7" s="38">
        <f t="shared" si="1"/>
        <v>2</v>
      </c>
    </row>
    <row r="8" spans="1:14">
      <c r="A8" s="13" t="s">
        <v>697</v>
      </c>
      <c r="B8" s="23">
        <f>B3*B13-B4*B14*EXP(-B5*B7)</f>
        <v>1.3056288553138878E-235</v>
      </c>
      <c r="C8" s="23">
        <f t="shared" ref="C8:N8" si="2">C3*C13-C4*C14*EXP(-C5*C7)</f>
        <v>0.43615012465267267</v>
      </c>
      <c r="D8" s="23">
        <f t="shared" si="2"/>
        <v>5.1406281319309386</v>
      </c>
      <c r="E8" s="23">
        <f t="shared" si="2"/>
        <v>15.886948530654259</v>
      </c>
      <c r="F8" s="23">
        <f t="shared" si="2"/>
        <v>31.327683827656472</v>
      </c>
      <c r="G8" s="23">
        <f t="shared" si="2"/>
        <v>49.929197434795533</v>
      </c>
      <c r="H8" s="23">
        <f t="shared" si="2"/>
        <v>70.593995577513695</v>
      </c>
      <c r="I8" s="23">
        <f t="shared" si="2"/>
        <v>92.608338501808802</v>
      </c>
      <c r="J8" s="23">
        <f t="shared" si="2"/>
        <v>115.5168226798594</v>
      </c>
      <c r="K8" s="23">
        <f t="shared" si="2"/>
        <v>139.02744992474533</v>
      </c>
      <c r="L8" s="23">
        <f t="shared" si="2"/>
        <v>162.95048298519617</v>
      </c>
      <c r="M8" s="23">
        <f t="shared" si="2"/>
        <v>187.16062969160689</v>
      </c>
      <c r="N8" s="39">
        <f t="shared" si="2"/>
        <v>211.57376695984868</v>
      </c>
    </row>
    <row r="9" spans="1:14">
      <c r="A9" t="s">
        <v>701</v>
      </c>
      <c r="B9" s="4">
        <f t="shared" ref="B9:N9" si="3">IF(B3&gt;B4,B3-B4,0)</f>
        <v>0</v>
      </c>
      <c r="C9" s="4">
        <f t="shared" si="3"/>
        <v>0</v>
      </c>
      <c r="D9" s="4">
        <f t="shared" si="3"/>
        <v>0</v>
      </c>
      <c r="E9" s="4">
        <f t="shared" si="3"/>
        <v>0</v>
      </c>
      <c r="F9" s="4">
        <f t="shared" si="3"/>
        <v>0</v>
      </c>
      <c r="G9" s="4">
        <f t="shared" si="3"/>
        <v>25</v>
      </c>
      <c r="H9" s="4">
        <f t="shared" si="3"/>
        <v>50</v>
      </c>
      <c r="I9" s="4">
        <f t="shared" si="3"/>
        <v>75</v>
      </c>
      <c r="J9" s="4">
        <f t="shared" si="3"/>
        <v>100</v>
      </c>
      <c r="K9" s="4">
        <f t="shared" si="3"/>
        <v>125</v>
      </c>
      <c r="L9" s="4">
        <f t="shared" si="3"/>
        <v>150</v>
      </c>
      <c r="M9" s="4">
        <f t="shared" si="3"/>
        <v>175</v>
      </c>
      <c r="N9">
        <f t="shared" si="3"/>
        <v>200</v>
      </c>
    </row>
    <row r="11" spans="1:14">
      <c r="A11" s="13" t="s">
        <v>554</v>
      </c>
      <c r="B11" s="23">
        <f>(LN(B3/B4)+(B5+B6^2/2)*B7)/(B6*SQRT(B7))</f>
        <v>-32.068495923472348</v>
      </c>
      <c r="C11" s="23">
        <f t="shared" ref="C11:N11" si="4">(LN(C3/C4)+(C5+C6^2/2)*C7)/(C6*SQRT(C7))</f>
        <v>-1.4655415401065111</v>
      </c>
      <c r="D11" s="23">
        <f t="shared" si="4"/>
        <v>-0.48528339663796388</v>
      </c>
      <c r="E11" s="23">
        <f t="shared" si="4"/>
        <v>8.8130858317675337E-2</v>
      </c>
      <c r="F11" s="23">
        <f t="shared" si="4"/>
        <v>0.49497474683058318</v>
      </c>
      <c r="G11" s="23">
        <f t="shared" si="4"/>
        <v>0.81054738345523536</v>
      </c>
      <c r="H11" s="23">
        <f t="shared" si="4"/>
        <v>1.0683890017862223</v>
      </c>
      <c r="I11" s="23">
        <f t="shared" si="4"/>
        <v>1.2863909838469638</v>
      </c>
      <c r="J11" s="23">
        <f t="shared" si="4"/>
        <v>1.4752328902991303</v>
      </c>
      <c r="K11" s="23">
        <f t="shared" si="4"/>
        <v>1.6418032567418619</v>
      </c>
      <c r="L11" s="23">
        <f t="shared" si="4"/>
        <v>1.7908055269237826</v>
      </c>
      <c r="M11" s="23">
        <f t="shared" si="4"/>
        <v>1.925594475835277</v>
      </c>
      <c r="N11" s="23">
        <f t="shared" si="4"/>
        <v>2.0486471452547694</v>
      </c>
    </row>
    <row r="12" spans="1:14">
      <c r="A12" s="13" t="s">
        <v>555</v>
      </c>
      <c r="B12" s="23">
        <f>B11-B6*SQRT(B7)</f>
        <v>-32.775602704658894</v>
      </c>
      <c r="C12" s="23">
        <f t="shared" ref="C12:N12" si="5">C11-C6*SQRT(C7)</f>
        <v>-2.1726483212930585</v>
      </c>
      <c r="D12" s="23">
        <f t="shared" si="5"/>
        <v>-1.1923901778245114</v>
      </c>
      <c r="E12" s="23">
        <f t="shared" si="5"/>
        <v>-0.61897592286887226</v>
      </c>
      <c r="F12" s="23">
        <f t="shared" si="5"/>
        <v>-0.21213203435596439</v>
      </c>
      <c r="G12" s="23">
        <f t="shared" si="5"/>
        <v>0.10344060226868779</v>
      </c>
      <c r="H12" s="23">
        <f t="shared" si="5"/>
        <v>0.36128222059967474</v>
      </c>
      <c r="I12" s="23">
        <f t="shared" si="5"/>
        <v>0.57928420266041625</v>
      </c>
      <c r="J12" s="23">
        <f t="shared" si="5"/>
        <v>0.76812610911258272</v>
      </c>
      <c r="K12" s="23">
        <f t="shared" si="5"/>
        <v>0.93469647555531432</v>
      </c>
      <c r="L12" s="23">
        <f t="shared" si="5"/>
        <v>1.0836987457372351</v>
      </c>
      <c r="M12" s="23">
        <f t="shared" si="5"/>
        <v>1.2184876946487293</v>
      </c>
      <c r="N12" s="23">
        <f t="shared" si="5"/>
        <v>1.341540364068222</v>
      </c>
    </row>
    <row r="13" spans="1:14">
      <c r="A13" s="13" t="s">
        <v>592</v>
      </c>
      <c r="B13" s="23">
        <f>NORMSDIST(B11)</f>
        <v>6.0631710036614777E-226</v>
      </c>
      <c r="C13" s="23">
        <f t="shared" ref="C13:N14" si="6">NORMSDIST(C11)</f>
        <v>7.1386613796467158E-2</v>
      </c>
      <c r="D13" s="23">
        <f t="shared" si="6"/>
        <v>0.31373766572498363</v>
      </c>
      <c r="E13" s="23">
        <f t="shared" si="6"/>
        <v>0.53511366479769162</v>
      </c>
      <c r="F13" s="23">
        <f t="shared" si="6"/>
        <v>0.68969102678115513</v>
      </c>
      <c r="G13" s="23">
        <f t="shared" si="6"/>
        <v>0.79118717823336149</v>
      </c>
      <c r="H13" s="23">
        <f t="shared" si="6"/>
        <v>0.85732746197343146</v>
      </c>
      <c r="I13" s="23">
        <f t="shared" si="6"/>
        <v>0.9008466782815403</v>
      </c>
      <c r="J13" s="23">
        <f t="shared" si="6"/>
        <v>0.92992502912237085</v>
      </c>
      <c r="K13" s="23">
        <f t="shared" si="6"/>
        <v>0.94968460803941124</v>
      </c>
      <c r="L13" s="23">
        <f t="shared" si="6"/>
        <v>0.96333774597859145</v>
      </c>
      <c r="M13" s="23">
        <f t="shared" si="6"/>
        <v>0.97292248548401217</v>
      </c>
      <c r="N13" s="23">
        <f t="shared" si="6"/>
        <v>0.9797516844835028</v>
      </c>
    </row>
    <row r="14" spans="1:14">
      <c r="A14" s="13" t="s">
        <v>593</v>
      </c>
      <c r="B14" s="23">
        <f>NORMSDIST(B12)</f>
        <v>6.5565459604968704E-236</v>
      </c>
      <c r="C14" s="23">
        <f t="shared" si="6"/>
        <v>1.4903398040126303E-2</v>
      </c>
      <c r="D14" s="23">
        <f t="shared" si="6"/>
        <v>0.11655414491157923</v>
      </c>
      <c r="E14" s="23">
        <f t="shared" si="6"/>
        <v>0.26796611021902961</v>
      </c>
      <c r="F14" s="23">
        <f t="shared" si="6"/>
        <v>0.41600201428631822</v>
      </c>
      <c r="G14" s="23">
        <f t="shared" si="6"/>
        <v>0.54119335549437397</v>
      </c>
      <c r="H14" s="23">
        <f t="shared" si="6"/>
        <v>0.64105575833067308</v>
      </c>
      <c r="I14" s="23">
        <f t="shared" si="6"/>
        <v>0.71880128850811931</v>
      </c>
      <c r="J14" s="23">
        <f t="shared" si="6"/>
        <v>0.77879386661056782</v>
      </c>
      <c r="K14" s="23">
        <f t="shared" si="6"/>
        <v>0.82502762812529296</v>
      </c>
      <c r="L14" s="23">
        <f t="shared" si="6"/>
        <v>0.86075080403401794</v>
      </c>
      <c r="M14" s="23">
        <f t="shared" si="6"/>
        <v>0.88848065093282347</v>
      </c>
      <c r="N14" s="23">
        <f t="shared" si="6"/>
        <v>0.91012746316299409</v>
      </c>
    </row>
    <row r="32" spans="1:2">
      <c r="A32" t="s">
        <v>695</v>
      </c>
      <c r="B32">
        <v>100</v>
      </c>
    </row>
    <row r="33" spans="1:2">
      <c r="A33" t="s">
        <v>703</v>
      </c>
      <c r="B33">
        <v>2</v>
      </c>
    </row>
    <row r="34" spans="1:2">
      <c r="A34" t="s">
        <v>589</v>
      </c>
      <c r="B34">
        <v>0.5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sqref="A1:D26"/>
    </sheetView>
  </sheetViews>
  <sheetFormatPr defaultRowHeight="12.75"/>
  <cols>
    <col min="1" max="1" width="11.140625" bestFit="1" customWidth="1"/>
    <col min="4" max="4" width="9.7109375" customWidth="1"/>
  </cols>
  <sheetData>
    <row r="1" spans="1:4" ht="15">
      <c r="A1" s="40" t="s">
        <v>446</v>
      </c>
      <c r="B1" s="40"/>
      <c r="C1" s="40"/>
      <c r="D1" s="40"/>
    </row>
    <row r="2" spans="1:4" ht="15">
      <c r="A2" s="41" t="s">
        <v>589</v>
      </c>
      <c r="B2" s="42">
        <v>0.4</v>
      </c>
      <c r="C2" s="40"/>
      <c r="D2" s="40"/>
    </row>
    <row r="3" spans="1:4" ht="15">
      <c r="A3" s="43" t="s">
        <v>704</v>
      </c>
      <c r="B3" s="44">
        <v>0.1</v>
      </c>
      <c r="C3" s="40"/>
      <c r="D3" s="40"/>
    </row>
    <row r="4" spans="1:4" ht="15">
      <c r="A4" s="43" t="s">
        <v>705</v>
      </c>
      <c r="B4" s="44">
        <v>1</v>
      </c>
      <c r="C4" s="40"/>
      <c r="D4" s="40"/>
    </row>
    <row r="5" spans="1:4" ht="15">
      <c r="A5" s="43" t="s">
        <v>447</v>
      </c>
      <c r="B5" s="206">
        <f>EXP(B2*SQRT(B4))</f>
        <v>1.4918246976412703</v>
      </c>
      <c r="C5" s="40"/>
      <c r="D5" s="40"/>
    </row>
    <row r="6" spans="1:4" ht="15">
      <c r="A6" s="43" t="s">
        <v>448</v>
      </c>
      <c r="B6" s="206">
        <f>1/B5</f>
        <v>0.67032004603563933</v>
      </c>
      <c r="C6" s="40"/>
      <c r="D6" s="40"/>
    </row>
    <row r="7" spans="1:4" ht="15">
      <c r="A7" s="45" t="s">
        <v>449</v>
      </c>
      <c r="B7" s="207">
        <f>(EXP(B3*B4)-B6)/(B5-B6)</f>
        <v>0.52933464368107019</v>
      </c>
      <c r="C7" s="40"/>
      <c r="D7" s="40"/>
    </row>
    <row r="8" spans="1:4" ht="15">
      <c r="A8" t="str">
        <f>A5</f>
        <v>up</v>
      </c>
      <c r="B8" s="206" t="s">
        <v>515</v>
      </c>
      <c r="C8" s="40"/>
      <c r="D8" s="40"/>
    </row>
    <row r="9" spans="1:4" ht="15">
      <c r="A9" t="str">
        <f>A6</f>
        <v>down</v>
      </c>
      <c r="B9" s="206" t="s">
        <v>516</v>
      </c>
      <c r="C9" s="40"/>
      <c r="D9" s="40"/>
    </row>
    <row r="10" spans="1:4" ht="15">
      <c r="A10" t="str">
        <f>A7</f>
        <v>probability</v>
      </c>
      <c r="B10" s="207" t="s">
        <v>517</v>
      </c>
      <c r="C10" s="40"/>
      <c r="D10" s="40"/>
    </row>
    <row r="11" spans="1:4">
      <c r="A11" s="41" t="s">
        <v>706</v>
      </c>
      <c r="B11" s="46">
        <v>0</v>
      </c>
      <c r="C11" s="46">
        <v>1</v>
      </c>
      <c r="D11" s="42"/>
    </row>
    <row r="12" spans="1:4">
      <c r="A12" s="43"/>
      <c r="B12" s="17" t="s">
        <v>553</v>
      </c>
      <c r="C12" s="17"/>
      <c r="D12" s="44"/>
    </row>
    <row r="13" spans="1:4">
      <c r="A13" s="43" t="s">
        <v>707</v>
      </c>
      <c r="B13" s="17"/>
      <c r="C13" s="47">
        <f>B14*B5</f>
        <v>18.647808720515879</v>
      </c>
      <c r="D13" s="44" t="s">
        <v>708</v>
      </c>
    </row>
    <row r="14" spans="1:4">
      <c r="A14" s="43" t="s">
        <v>709</v>
      </c>
      <c r="B14" s="17">
        <v>12.5</v>
      </c>
      <c r="C14" s="17"/>
      <c r="D14" s="44"/>
    </row>
    <row r="15" spans="1:4">
      <c r="A15" s="43"/>
      <c r="B15" s="17"/>
      <c r="C15" s="47">
        <f>B14*B6</f>
        <v>8.3790005754454917</v>
      </c>
      <c r="D15" s="44" t="s">
        <v>710</v>
      </c>
    </row>
    <row r="16" spans="1:4">
      <c r="A16" s="43"/>
      <c r="B16" s="17"/>
      <c r="C16" s="17"/>
      <c r="D16" s="44"/>
    </row>
    <row r="17" spans="1:4">
      <c r="A17" s="43"/>
      <c r="B17" s="17"/>
      <c r="C17" s="17">
        <v>11</v>
      </c>
      <c r="D17" s="44" t="s">
        <v>708</v>
      </c>
    </row>
    <row r="18" spans="1:4">
      <c r="A18" s="43" t="s">
        <v>711</v>
      </c>
      <c r="B18" s="17">
        <v>10</v>
      </c>
      <c r="C18" s="17"/>
      <c r="D18" s="44"/>
    </row>
    <row r="19" spans="1:4">
      <c r="A19" s="43"/>
      <c r="B19" s="17"/>
      <c r="C19" s="17">
        <v>11</v>
      </c>
      <c r="D19" s="44" t="s">
        <v>710</v>
      </c>
    </row>
    <row r="20" spans="1:4">
      <c r="A20" s="43"/>
      <c r="B20" s="17"/>
      <c r="C20" s="17"/>
      <c r="D20" s="44"/>
    </row>
    <row r="21" spans="1:4">
      <c r="A21" s="43"/>
      <c r="B21" s="47"/>
      <c r="C21" s="47">
        <f>MAX((C13-C17),0)</f>
        <v>7.6478087205158793</v>
      </c>
      <c r="D21" s="44" t="s">
        <v>708</v>
      </c>
    </row>
    <row r="22" spans="1:4" ht="15">
      <c r="A22" s="43" t="s">
        <v>450</v>
      </c>
      <c r="B22" s="48">
        <f>EXP(-B3*B4)*(C21*B7+(1-B7)*C23)</f>
        <v>3.6630081716809673</v>
      </c>
      <c r="C22" s="47"/>
      <c r="D22" s="44"/>
    </row>
    <row r="23" spans="1:4">
      <c r="A23" s="45"/>
      <c r="B23" s="49"/>
      <c r="C23" s="50">
        <f>MAX((C15-C19),0)</f>
        <v>0</v>
      </c>
      <c r="D23" s="51" t="s">
        <v>710</v>
      </c>
    </row>
    <row r="24" spans="1:4">
      <c r="A24" t="s">
        <v>518</v>
      </c>
      <c r="C24" s="47" t="s">
        <v>521</v>
      </c>
    </row>
    <row r="25" spans="1:4">
      <c r="A25" t="s">
        <v>519</v>
      </c>
      <c r="C25" s="47" t="s">
        <v>522</v>
      </c>
    </row>
    <row r="26" spans="1:4">
      <c r="A26" t="s">
        <v>520</v>
      </c>
      <c r="B26" s="9"/>
      <c r="C26" s="53" t="s">
        <v>523</v>
      </c>
    </row>
    <row r="27" spans="1:4" ht="15">
      <c r="A27" s="48" t="s">
        <v>553</v>
      </c>
    </row>
  </sheetData>
  <phoneticPr fontId="8" type="noConversion"/>
  <printOptions headings="1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sqref="A1:D26"/>
    </sheetView>
  </sheetViews>
  <sheetFormatPr defaultRowHeight="12.75"/>
  <cols>
    <col min="1" max="1" width="11.140625" bestFit="1" customWidth="1"/>
    <col min="4" max="4" width="9.7109375" customWidth="1"/>
  </cols>
  <sheetData>
    <row r="1" spans="1:4" ht="15">
      <c r="A1" s="40" t="s">
        <v>451</v>
      </c>
      <c r="B1" s="40"/>
      <c r="C1" s="40"/>
      <c r="D1" s="40"/>
    </row>
    <row r="2" spans="1:4" ht="15">
      <c r="A2" s="41" t="s">
        <v>589</v>
      </c>
      <c r="B2" s="42">
        <v>0.4</v>
      </c>
      <c r="C2" s="40"/>
      <c r="D2" s="40"/>
    </row>
    <row r="3" spans="1:4" ht="15">
      <c r="A3" s="43" t="s">
        <v>704</v>
      </c>
      <c r="B3" s="44">
        <v>0.1</v>
      </c>
      <c r="C3" s="40"/>
      <c r="D3" s="40"/>
    </row>
    <row r="4" spans="1:4" ht="15">
      <c r="A4" s="43" t="s">
        <v>705</v>
      </c>
      <c r="B4" s="44">
        <v>1</v>
      </c>
      <c r="C4" s="40"/>
      <c r="D4" s="40"/>
    </row>
    <row r="5" spans="1:4" ht="15">
      <c r="A5" s="43" t="s">
        <v>447</v>
      </c>
      <c r="B5" s="206">
        <f>EXP(B2*SQRT(B4))</f>
        <v>1.4918246976412703</v>
      </c>
      <c r="C5" s="40"/>
      <c r="D5" s="40"/>
    </row>
    <row r="6" spans="1:4" ht="15">
      <c r="A6" s="43" t="s">
        <v>448</v>
      </c>
      <c r="B6" s="206">
        <f>1/B5</f>
        <v>0.67032004603563933</v>
      </c>
      <c r="C6" s="40"/>
      <c r="D6" s="40"/>
    </row>
    <row r="7" spans="1:4" ht="15">
      <c r="A7" s="45" t="s">
        <v>449</v>
      </c>
      <c r="B7" s="207">
        <f>(EXP(B3*B4)-B6)/(B5-B6)</f>
        <v>0.52933464368107019</v>
      </c>
      <c r="C7" s="40"/>
      <c r="D7" s="40"/>
    </row>
    <row r="8" spans="1:4" ht="15">
      <c r="A8" t="str">
        <f>A5</f>
        <v>up</v>
      </c>
      <c r="B8" s="206" t="s">
        <v>515</v>
      </c>
      <c r="C8" s="40"/>
      <c r="D8" s="40"/>
    </row>
    <row r="9" spans="1:4" ht="15">
      <c r="A9" t="str">
        <f>A6</f>
        <v>down</v>
      </c>
      <c r="B9" s="206" t="s">
        <v>516</v>
      </c>
      <c r="C9" s="40"/>
      <c r="D9" s="40"/>
    </row>
    <row r="10" spans="1:4" ht="15">
      <c r="A10" t="str">
        <f>A7</f>
        <v>probability</v>
      </c>
      <c r="B10" s="207" t="s">
        <v>517</v>
      </c>
      <c r="C10" s="40"/>
      <c r="D10" s="40"/>
    </row>
    <row r="11" spans="1:4">
      <c r="A11" s="41" t="s">
        <v>706</v>
      </c>
      <c r="B11" s="46">
        <v>0</v>
      </c>
      <c r="C11" s="46">
        <v>1</v>
      </c>
      <c r="D11" s="42"/>
    </row>
    <row r="12" spans="1:4">
      <c r="A12" s="43"/>
      <c r="B12" s="17" t="s">
        <v>553</v>
      </c>
      <c r="C12" s="17"/>
      <c r="D12" s="44"/>
    </row>
    <row r="13" spans="1:4">
      <c r="A13" s="43" t="s">
        <v>707</v>
      </c>
      <c r="B13" s="17"/>
      <c r="C13" s="47">
        <f>B14*B5</f>
        <v>18.647808720515879</v>
      </c>
      <c r="D13" s="44" t="s">
        <v>708</v>
      </c>
    </row>
    <row r="14" spans="1:4">
      <c r="A14" s="43" t="s">
        <v>709</v>
      </c>
      <c r="B14" s="17">
        <v>12.5</v>
      </c>
      <c r="C14" s="17"/>
      <c r="D14" s="44"/>
    </row>
    <row r="15" spans="1:4">
      <c r="A15" s="43"/>
      <c r="B15" s="17"/>
      <c r="C15" s="47">
        <f>B14*B6</f>
        <v>8.3790005754454917</v>
      </c>
      <c r="D15" s="44" t="s">
        <v>710</v>
      </c>
    </row>
    <row r="16" spans="1:4">
      <c r="A16" s="43"/>
      <c r="B16" s="17"/>
      <c r="C16" s="17"/>
      <c r="D16" s="44"/>
    </row>
    <row r="17" spans="1:4">
      <c r="A17" s="43"/>
      <c r="B17" s="17"/>
      <c r="C17" s="17">
        <v>11</v>
      </c>
      <c r="D17" s="44" t="s">
        <v>708</v>
      </c>
    </row>
    <row r="18" spans="1:4">
      <c r="A18" s="43" t="s">
        <v>711</v>
      </c>
      <c r="B18" s="17">
        <v>10</v>
      </c>
      <c r="C18" s="17"/>
      <c r="D18" s="44"/>
    </row>
    <row r="19" spans="1:4">
      <c r="A19" s="43"/>
      <c r="B19" s="17"/>
      <c r="C19" s="17">
        <v>11</v>
      </c>
      <c r="D19" s="44" t="s">
        <v>710</v>
      </c>
    </row>
    <row r="20" spans="1:4">
      <c r="A20" s="43"/>
      <c r="B20" s="17"/>
      <c r="C20" s="17"/>
      <c r="D20" s="44"/>
    </row>
    <row r="21" spans="1:4">
      <c r="A21" s="43"/>
      <c r="B21" s="47"/>
      <c r="C21" s="47">
        <f>MAX((-C13+C17),0)</f>
        <v>0</v>
      </c>
      <c r="D21" s="44" t="s">
        <v>708</v>
      </c>
    </row>
    <row r="22" spans="1:4" ht="15">
      <c r="A22" s="43" t="s">
        <v>452</v>
      </c>
      <c r="B22" s="48">
        <f>EXP(-B3*B4)*(C21*B7+(1-B7)*C23)</f>
        <v>1.1162197700765215</v>
      </c>
      <c r="C22" s="47"/>
      <c r="D22" s="44"/>
    </row>
    <row r="23" spans="1:4">
      <c r="A23" s="45"/>
      <c r="B23" s="49"/>
      <c r="C23" s="50">
        <f>MAX((-C15+C19),0)</f>
        <v>2.6209994245545083</v>
      </c>
      <c r="D23" s="51" t="s">
        <v>710</v>
      </c>
    </row>
    <row r="24" spans="1:4">
      <c r="A24" t="s">
        <v>518</v>
      </c>
      <c r="C24" s="47" t="s">
        <v>524</v>
      </c>
    </row>
    <row r="25" spans="1:4">
      <c r="A25" t="s">
        <v>519</v>
      </c>
      <c r="C25" s="47" t="s">
        <v>525</v>
      </c>
    </row>
    <row r="26" spans="1:4">
      <c r="A26" t="s">
        <v>520</v>
      </c>
      <c r="B26" s="9"/>
      <c r="C26" s="53" t="s">
        <v>523</v>
      </c>
    </row>
    <row r="27" spans="1:4" ht="15">
      <c r="A27" s="48" t="s">
        <v>553</v>
      </c>
    </row>
  </sheetData>
  <phoneticPr fontId="8" type="noConversion"/>
  <printOptions headings="1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H1" sqref="A1:H19"/>
    </sheetView>
  </sheetViews>
  <sheetFormatPr defaultRowHeight="12.75"/>
  <cols>
    <col min="1" max="1" width="11.28515625" bestFit="1" customWidth="1"/>
    <col min="2" max="2" width="9.5703125" bestFit="1" customWidth="1"/>
  </cols>
  <sheetData>
    <row r="1" spans="1:7" ht="15">
      <c r="A1" s="52" t="s">
        <v>712</v>
      </c>
      <c r="B1" s="40"/>
      <c r="C1" s="40"/>
      <c r="D1" s="40"/>
      <c r="E1" s="40"/>
      <c r="F1" s="40"/>
      <c r="G1" s="40"/>
    </row>
    <row r="2" spans="1:7" ht="15">
      <c r="A2" s="40" t="s">
        <v>713</v>
      </c>
      <c r="B2" s="40"/>
      <c r="C2" s="40"/>
      <c r="D2" s="40"/>
    </row>
    <row r="3" spans="1:7">
      <c r="A3" s="41" t="s">
        <v>706</v>
      </c>
      <c r="B3" s="46">
        <v>0</v>
      </c>
      <c r="C3" s="46">
        <v>1</v>
      </c>
      <c r="D3" s="42"/>
      <c r="E3" t="s">
        <v>714</v>
      </c>
      <c r="F3">
        <v>0.4</v>
      </c>
    </row>
    <row r="4" spans="1:7">
      <c r="A4" s="43"/>
      <c r="B4" s="17" t="s">
        <v>553</v>
      </c>
      <c r="C4" s="17"/>
      <c r="D4" s="44"/>
      <c r="E4" t="s">
        <v>704</v>
      </c>
      <c r="F4">
        <v>0.1</v>
      </c>
    </row>
    <row r="5" spans="1:7">
      <c r="A5" s="43" t="s">
        <v>707</v>
      </c>
      <c r="B5" s="17"/>
      <c r="C5" s="47">
        <f>B6*F6</f>
        <v>18.647808720515879</v>
      </c>
      <c r="D5" s="44" t="s">
        <v>708</v>
      </c>
      <c r="E5" t="s">
        <v>705</v>
      </c>
      <c r="F5">
        <v>1</v>
      </c>
    </row>
    <row r="6" spans="1:7">
      <c r="A6" s="43" t="s">
        <v>709</v>
      </c>
      <c r="B6" s="17">
        <v>12.5</v>
      </c>
      <c r="C6" s="17"/>
      <c r="D6" s="44"/>
      <c r="E6" t="s">
        <v>708</v>
      </c>
      <c r="F6" s="3">
        <f>EXP(F3*SQRT(F5))</f>
        <v>1.4918246976412703</v>
      </c>
      <c r="G6" s="3" t="s">
        <v>715</v>
      </c>
    </row>
    <row r="7" spans="1:7">
      <c r="A7" s="43"/>
      <c r="B7" s="17"/>
      <c r="C7" s="47">
        <f>B6*F7</f>
        <v>8.3790005754454917</v>
      </c>
      <c r="D7" s="44" t="s">
        <v>710</v>
      </c>
      <c r="E7" t="s">
        <v>710</v>
      </c>
      <c r="F7" s="3">
        <f>1/F6</f>
        <v>0.67032004603563933</v>
      </c>
      <c r="G7" s="3" t="s">
        <v>716</v>
      </c>
    </row>
    <row r="8" spans="1:7">
      <c r="A8" s="43"/>
      <c r="B8" s="17"/>
      <c r="C8" s="17"/>
      <c r="D8" s="44"/>
      <c r="E8" t="s">
        <v>312</v>
      </c>
      <c r="F8" s="3">
        <f>(EXP(F4*F5)-F7)/(F6-F7)</f>
        <v>0.52933464368107019</v>
      </c>
      <c r="G8" s="10" t="s">
        <v>717</v>
      </c>
    </row>
    <row r="9" spans="1:7">
      <c r="A9" s="43"/>
      <c r="B9" s="17"/>
      <c r="C9" s="17">
        <f>B10*1.1</f>
        <v>11</v>
      </c>
      <c r="D9" s="44" t="s">
        <v>708</v>
      </c>
    </row>
    <row r="10" spans="1:7">
      <c r="A10" s="43" t="s">
        <v>711</v>
      </c>
      <c r="B10" s="17">
        <v>10</v>
      </c>
      <c r="C10" s="17"/>
      <c r="D10" s="44"/>
    </row>
    <row r="11" spans="1:7">
      <c r="A11" s="43"/>
      <c r="B11" s="17"/>
      <c r="C11" s="17">
        <f>B10*1.1</f>
        <v>11</v>
      </c>
      <c r="D11" s="44" t="s">
        <v>710</v>
      </c>
    </row>
    <row r="12" spans="1:7">
      <c r="A12" s="43"/>
      <c r="B12" s="17"/>
      <c r="C12" s="17"/>
      <c r="D12" s="44"/>
    </row>
    <row r="13" spans="1:7">
      <c r="A13" s="43"/>
      <c r="B13" s="47"/>
      <c r="C13" s="47">
        <f>MAX(C5-C9,0)</f>
        <v>7.6478087205158793</v>
      </c>
      <c r="D13" s="44" t="s">
        <v>708</v>
      </c>
      <c r="E13" t="s">
        <v>718</v>
      </c>
      <c r="F13" s="47" t="s">
        <v>460</v>
      </c>
    </row>
    <row r="14" spans="1:7" ht="15">
      <c r="A14" s="43" t="s">
        <v>719</v>
      </c>
      <c r="B14" s="48">
        <f>EXP(-F4*F5)*C13*F8</f>
        <v>3.6630081716809673</v>
      </c>
      <c r="C14" s="47"/>
      <c r="D14" s="44"/>
      <c r="E14" t="s">
        <v>720</v>
      </c>
      <c r="F14" s="53" t="s">
        <v>721</v>
      </c>
    </row>
    <row r="15" spans="1:7">
      <c r="A15" s="43"/>
      <c r="B15" s="17"/>
      <c r="C15" s="47">
        <f>MAX(C7-C11,0)</f>
        <v>0</v>
      </c>
      <c r="D15" s="44" t="s">
        <v>710</v>
      </c>
      <c r="F15" s="54"/>
    </row>
    <row r="16" spans="1:7">
      <c r="A16" s="43"/>
      <c r="B16" s="17" t="s">
        <v>722</v>
      </c>
      <c r="C16" s="17"/>
      <c r="D16" s="44"/>
      <c r="F16" s="54"/>
    </row>
    <row r="17" spans="1:6">
      <c r="A17" s="43" t="s">
        <v>723</v>
      </c>
      <c r="B17" s="47"/>
      <c r="C17" s="47">
        <f>MAX(C5-C9,0)</f>
        <v>7.6478087205158793</v>
      </c>
      <c r="D17" s="44" t="s">
        <v>708</v>
      </c>
      <c r="F17" s="54"/>
    </row>
    <row r="18" spans="1:6" ht="15">
      <c r="A18" s="43" t="s">
        <v>724</v>
      </c>
      <c r="B18" s="48">
        <f>EXP(-F4*F5)*(C17*F8+(1-F8)*C19)</f>
        <v>4.1740589226056821</v>
      </c>
      <c r="C18" s="47" t="s">
        <v>553</v>
      </c>
      <c r="D18" s="44"/>
      <c r="E18" t="s">
        <v>725</v>
      </c>
      <c r="F18" s="53" t="s">
        <v>726</v>
      </c>
    </row>
    <row r="19" spans="1:6">
      <c r="A19" s="45"/>
      <c r="B19" s="49"/>
      <c r="C19" s="50">
        <f>MAX(C7-C11,1.2)</f>
        <v>1.2</v>
      </c>
      <c r="D19" s="51" t="s">
        <v>710</v>
      </c>
      <c r="E19" t="s">
        <v>727</v>
      </c>
      <c r="F19" s="50" t="s">
        <v>461</v>
      </c>
    </row>
  </sheetData>
  <phoneticPr fontId="8" type="noConversion"/>
  <printOptions headings="1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sqref="A1:N31"/>
    </sheetView>
  </sheetViews>
  <sheetFormatPr defaultRowHeight="12.75"/>
  <cols>
    <col min="1" max="1" width="15.7109375" bestFit="1" customWidth="1"/>
    <col min="2" max="9" width="5.7109375" customWidth="1"/>
    <col min="10" max="13" width="6.5703125" customWidth="1"/>
    <col min="14" max="14" width="7.140625" customWidth="1"/>
  </cols>
  <sheetData>
    <row r="1" spans="1:14">
      <c r="A1" t="s">
        <v>700</v>
      </c>
      <c r="B1" s="19">
        <v>100</v>
      </c>
      <c r="C1" s="19">
        <f>B1</f>
        <v>100</v>
      </c>
      <c r="D1" s="19">
        <f t="shared" ref="D1:N4" si="0">C1</f>
        <v>100</v>
      </c>
      <c r="E1" s="19">
        <f t="shared" si="0"/>
        <v>100</v>
      </c>
      <c r="F1" s="19">
        <f t="shared" si="0"/>
        <v>100</v>
      </c>
      <c r="G1" s="19">
        <f t="shared" si="0"/>
        <v>100</v>
      </c>
      <c r="H1" s="19">
        <f t="shared" si="0"/>
        <v>100</v>
      </c>
      <c r="I1" s="19">
        <f t="shared" si="0"/>
        <v>100</v>
      </c>
      <c r="J1" s="19">
        <f t="shared" si="0"/>
        <v>100</v>
      </c>
      <c r="K1" s="19">
        <f t="shared" si="0"/>
        <v>100</v>
      </c>
      <c r="L1" s="19">
        <f t="shared" si="0"/>
        <v>100</v>
      </c>
      <c r="M1" s="19">
        <f t="shared" si="0"/>
        <v>100</v>
      </c>
      <c r="N1" s="19">
        <f t="shared" si="0"/>
        <v>100</v>
      </c>
    </row>
    <row r="2" spans="1:14">
      <c r="A2" t="s">
        <v>694</v>
      </c>
      <c r="B2" s="37">
        <v>100</v>
      </c>
      <c r="C2" s="37">
        <f>B2</f>
        <v>100</v>
      </c>
      <c r="D2" s="37">
        <f t="shared" si="0"/>
        <v>100</v>
      </c>
      <c r="E2" s="37">
        <f t="shared" si="0"/>
        <v>100</v>
      </c>
      <c r="F2" s="37">
        <f t="shared" si="0"/>
        <v>100</v>
      </c>
      <c r="G2" s="37">
        <f t="shared" si="0"/>
        <v>100</v>
      </c>
      <c r="H2" s="37">
        <f t="shared" si="0"/>
        <v>100</v>
      </c>
      <c r="I2" s="37">
        <f t="shared" si="0"/>
        <v>100</v>
      </c>
      <c r="J2" s="37">
        <f t="shared" si="0"/>
        <v>100</v>
      </c>
      <c r="K2" s="37">
        <f t="shared" si="0"/>
        <v>100</v>
      </c>
      <c r="L2" s="37">
        <f t="shared" si="0"/>
        <v>100</v>
      </c>
      <c r="M2" s="37">
        <f t="shared" si="0"/>
        <v>100</v>
      </c>
      <c r="N2" s="37">
        <f t="shared" si="0"/>
        <v>100</v>
      </c>
    </row>
    <row r="3" spans="1:14">
      <c r="A3" s="13" t="s">
        <v>698</v>
      </c>
      <c r="B3" s="38">
        <v>0.05</v>
      </c>
      <c r="C3" s="38">
        <f>B3</f>
        <v>0.05</v>
      </c>
      <c r="D3" s="38">
        <f t="shared" si="0"/>
        <v>0.05</v>
      </c>
      <c r="E3" s="38">
        <f t="shared" si="0"/>
        <v>0.05</v>
      </c>
      <c r="F3" s="38">
        <f t="shared" si="0"/>
        <v>0.05</v>
      </c>
      <c r="G3" s="38">
        <f t="shared" si="0"/>
        <v>0.05</v>
      </c>
      <c r="H3" s="38">
        <f t="shared" si="0"/>
        <v>0.05</v>
      </c>
      <c r="I3" s="38">
        <f t="shared" si="0"/>
        <v>0.05</v>
      </c>
      <c r="J3" s="38">
        <f t="shared" si="0"/>
        <v>0.05</v>
      </c>
      <c r="K3" s="38">
        <f t="shared" si="0"/>
        <v>0.05</v>
      </c>
      <c r="L3" s="38">
        <f t="shared" si="0"/>
        <v>0.05</v>
      </c>
      <c r="M3" s="38">
        <f t="shared" si="0"/>
        <v>0.05</v>
      </c>
      <c r="N3" s="38">
        <f t="shared" si="0"/>
        <v>0.05</v>
      </c>
    </row>
    <row r="4" spans="1:14">
      <c r="A4" s="13" t="s">
        <v>589</v>
      </c>
      <c r="B4" s="38">
        <v>0.5</v>
      </c>
      <c r="C4" s="38">
        <f>B4</f>
        <v>0.5</v>
      </c>
      <c r="D4" s="38">
        <f t="shared" si="0"/>
        <v>0.5</v>
      </c>
      <c r="E4" s="38">
        <f t="shared" si="0"/>
        <v>0.5</v>
      </c>
      <c r="F4" s="38">
        <f t="shared" si="0"/>
        <v>0.5</v>
      </c>
      <c r="G4" s="38">
        <f t="shared" si="0"/>
        <v>0.5</v>
      </c>
      <c r="H4" s="38">
        <f t="shared" si="0"/>
        <v>0.5</v>
      </c>
      <c r="I4" s="38">
        <f t="shared" si="0"/>
        <v>0.5</v>
      </c>
      <c r="J4" s="38">
        <f t="shared" si="0"/>
        <v>0.5</v>
      </c>
      <c r="K4" s="38">
        <f t="shared" si="0"/>
        <v>0.5</v>
      </c>
      <c r="L4" s="38">
        <f t="shared" si="0"/>
        <v>0.5</v>
      </c>
      <c r="M4" s="38">
        <f t="shared" si="0"/>
        <v>0.5</v>
      </c>
      <c r="N4" s="38">
        <f t="shared" si="0"/>
        <v>0.5</v>
      </c>
    </row>
    <row r="5" spans="1:14">
      <c r="A5" s="13" t="s">
        <v>696</v>
      </c>
      <c r="B5" s="38">
        <v>0.5</v>
      </c>
      <c r="C5" s="38">
        <f>B5+0.5</f>
        <v>1</v>
      </c>
      <c r="D5" s="38">
        <f t="shared" ref="D5:N5" si="1">C5+0.5</f>
        <v>1.5</v>
      </c>
      <c r="E5" s="38">
        <f t="shared" si="1"/>
        <v>2</v>
      </c>
      <c r="F5" s="38">
        <f t="shared" si="1"/>
        <v>2.5</v>
      </c>
      <c r="G5" s="38">
        <f t="shared" si="1"/>
        <v>3</v>
      </c>
      <c r="H5" s="38">
        <f t="shared" si="1"/>
        <v>3.5</v>
      </c>
      <c r="I5" s="38">
        <f t="shared" si="1"/>
        <v>4</v>
      </c>
      <c r="J5" s="38">
        <f t="shared" si="1"/>
        <v>4.5</v>
      </c>
      <c r="K5" s="38">
        <f t="shared" si="1"/>
        <v>5</v>
      </c>
      <c r="L5" s="38">
        <f t="shared" si="1"/>
        <v>5.5</v>
      </c>
      <c r="M5" s="38">
        <f t="shared" si="1"/>
        <v>6</v>
      </c>
      <c r="N5" s="38">
        <f t="shared" si="1"/>
        <v>6.5</v>
      </c>
    </row>
    <row r="6" spans="1:14">
      <c r="A6" s="13" t="s">
        <v>697</v>
      </c>
      <c r="B6" s="23">
        <f>B1*B11-B2*B12*EXP(-B3*B5)</f>
        <v>15.127174001173778</v>
      </c>
      <c r="C6" s="23">
        <f t="shared" ref="C6:N6" si="2">C1*C11-C2*C12*EXP(-C3*C5)</f>
        <v>21.792604212866834</v>
      </c>
      <c r="D6" s="23">
        <f t="shared" si="2"/>
        <v>26.965730443918666</v>
      </c>
      <c r="E6" s="23">
        <f t="shared" si="2"/>
        <v>31.327683827656472</v>
      </c>
      <c r="F6" s="23">
        <f t="shared" si="2"/>
        <v>35.147967259968361</v>
      </c>
      <c r="G6" s="23">
        <f t="shared" si="2"/>
        <v>38.56782681893803</v>
      </c>
      <c r="H6" s="23">
        <f t="shared" si="2"/>
        <v>41.673061819427907</v>
      </c>
      <c r="I6" s="23">
        <f t="shared" si="2"/>
        <v>44.520867872319315</v>
      </c>
      <c r="J6" s="23">
        <f t="shared" si="2"/>
        <v>47.151908492047355</v>
      </c>
      <c r="K6" s="23">
        <f t="shared" si="2"/>
        <v>49.596495372329557</v>
      </c>
      <c r="L6" s="23">
        <f t="shared" si="2"/>
        <v>51.878058761602006</v>
      </c>
      <c r="M6" s="23">
        <f t="shared" si="2"/>
        <v>54.015236631904983</v>
      </c>
      <c r="N6" s="39">
        <f t="shared" si="2"/>
        <v>56.023202828815386</v>
      </c>
    </row>
    <row r="7" spans="1:14">
      <c r="A7" t="s">
        <v>701</v>
      </c>
      <c r="B7" s="4">
        <f t="shared" ref="B7:N7" si="3">IF(B1&gt;B2,B1-B2,0)</f>
        <v>0</v>
      </c>
      <c r="C7" s="4">
        <f t="shared" si="3"/>
        <v>0</v>
      </c>
      <c r="D7" s="4">
        <f t="shared" si="3"/>
        <v>0</v>
      </c>
      <c r="E7" s="4">
        <f t="shared" si="3"/>
        <v>0</v>
      </c>
      <c r="F7" s="4">
        <f t="shared" si="3"/>
        <v>0</v>
      </c>
      <c r="G7" s="4">
        <f t="shared" si="3"/>
        <v>0</v>
      </c>
      <c r="H7" s="4">
        <f t="shared" si="3"/>
        <v>0</v>
      </c>
      <c r="I7" s="4">
        <f t="shared" si="3"/>
        <v>0</v>
      </c>
      <c r="J7" s="4">
        <f t="shared" si="3"/>
        <v>0</v>
      </c>
      <c r="K7" s="4">
        <f t="shared" si="3"/>
        <v>0</v>
      </c>
      <c r="L7" s="4">
        <f t="shared" si="3"/>
        <v>0</v>
      </c>
      <c r="M7" s="4">
        <f t="shared" si="3"/>
        <v>0</v>
      </c>
      <c r="N7">
        <f t="shared" si="3"/>
        <v>0</v>
      </c>
    </row>
    <row r="9" spans="1:14">
      <c r="A9" s="13" t="s">
        <v>554</v>
      </c>
      <c r="B9" s="23">
        <f>(LN(B1/B2)+(B3+B4^2/2)*B5)/(B4*SQRT(B5))</f>
        <v>0.24748737341529159</v>
      </c>
      <c r="C9" s="23">
        <f t="shared" ref="C9:N9" si="4">(LN(C1/C2)+(C3+C4^2/2)*C5)/(C4*SQRT(C5))</f>
        <v>0.35</v>
      </c>
      <c r="D9" s="23">
        <f t="shared" si="4"/>
        <v>0.42866070498705611</v>
      </c>
      <c r="E9" s="23">
        <f t="shared" si="4"/>
        <v>0.49497474683058318</v>
      </c>
      <c r="F9" s="23">
        <f t="shared" si="4"/>
        <v>0.55339859052946638</v>
      </c>
      <c r="G9" s="23">
        <f t="shared" si="4"/>
        <v>0.60621778264910697</v>
      </c>
      <c r="H9" s="23">
        <f t="shared" si="4"/>
        <v>0.65479004268543972</v>
      </c>
      <c r="I9" s="23">
        <f t="shared" si="4"/>
        <v>0.7</v>
      </c>
      <c r="J9" s="23">
        <f t="shared" si="4"/>
        <v>0.74246212024587499</v>
      </c>
      <c r="K9" s="23">
        <f t="shared" si="4"/>
        <v>0.78262379212492639</v>
      </c>
      <c r="L9" s="23">
        <f t="shared" si="4"/>
        <v>0.82082275796910009</v>
      </c>
      <c r="M9" s="23">
        <f t="shared" si="4"/>
        <v>0.85732140997411221</v>
      </c>
      <c r="N9" s="23">
        <f t="shared" si="4"/>
        <v>0.89232841487873737</v>
      </c>
    </row>
    <row r="10" spans="1:14">
      <c r="A10" s="13" t="s">
        <v>555</v>
      </c>
      <c r="B10" s="23">
        <f>B9-B4*SQRT(B5)</f>
        <v>-0.1060660171779822</v>
      </c>
      <c r="C10" s="23">
        <f t="shared" ref="C10:N10" si="5">C9-C4*SQRT(C5)</f>
        <v>-0.15000000000000002</v>
      </c>
      <c r="D10" s="23">
        <f t="shared" si="5"/>
        <v>-0.18371173070873836</v>
      </c>
      <c r="E10" s="23">
        <f t="shared" si="5"/>
        <v>-0.21213203435596439</v>
      </c>
      <c r="F10" s="23">
        <f t="shared" si="5"/>
        <v>-0.2371708245126285</v>
      </c>
      <c r="G10" s="23">
        <f t="shared" si="5"/>
        <v>-0.25980762113533162</v>
      </c>
      <c r="H10" s="23">
        <f t="shared" si="5"/>
        <v>-0.28062430400804561</v>
      </c>
      <c r="I10" s="23">
        <f t="shared" si="5"/>
        <v>-0.30000000000000004</v>
      </c>
      <c r="J10" s="23">
        <f t="shared" si="5"/>
        <v>-0.3181980515339462</v>
      </c>
      <c r="K10" s="23">
        <f t="shared" si="5"/>
        <v>-0.33541019662496852</v>
      </c>
      <c r="L10" s="23">
        <f t="shared" si="5"/>
        <v>-0.35178118198675734</v>
      </c>
      <c r="M10" s="23">
        <f t="shared" si="5"/>
        <v>-0.36742346141747673</v>
      </c>
      <c r="N10" s="23">
        <f t="shared" si="5"/>
        <v>-0.38242646351945875</v>
      </c>
    </row>
    <row r="11" spans="1:14">
      <c r="A11" s="13" t="s">
        <v>592</v>
      </c>
      <c r="B11" s="23">
        <f>NORMSDIST(B9)</f>
        <v>0.59773446890843829</v>
      </c>
      <c r="C11" s="23">
        <f t="shared" ref="C11:N12" si="6">NORMSDIST(C9)</f>
        <v>0.63683065117561899</v>
      </c>
      <c r="D11" s="23">
        <f t="shared" si="6"/>
        <v>0.66591491944679648</v>
      </c>
      <c r="E11" s="23">
        <f t="shared" si="6"/>
        <v>0.68969102678115513</v>
      </c>
      <c r="F11" s="23">
        <f t="shared" si="6"/>
        <v>0.71000474807249581</v>
      </c>
      <c r="G11" s="23">
        <f t="shared" si="6"/>
        <v>0.72781492707169504</v>
      </c>
      <c r="H11" s="23">
        <f t="shared" si="6"/>
        <v>0.74369852878480147</v>
      </c>
      <c r="I11" s="23">
        <f t="shared" si="6"/>
        <v>0.75803634777692697</v>
      </c>
      <c r="J11" s="23">
        <f t="shared" si="6"/>
        <v>0.77109630290452902</v>
      </c>
      <c r="K11" s="23">
        <f t="shared" si="6"/>
        <v>0.7830759671167804</v>
      </c>
      <c r="L11" s="23">
        <f t="shared" si="6"/>
        <v>0.79412638323151907</v>
      </c>
      <c r="M11" s="23">
        <f t="shared" si="6"/>
        <v>0.80436636035868037</v>
      </c>
      <c r="N11" s="23">
        <f t="shared" si="6"/>
        <v>0.8138915359012413</v>
      </c>
    </row>
    <row r="12" spans="1:14">
      <c r="A12" s="13" t="s">
        <v>593</v>
      </c>
      <c r="B12" s="23">
        <f>NORMSDIST(B10)</f>
        <v>0.45776498668838594</v>
      </c>
      <c r="C12" s="23">
        <f t="shared" si="6"/>
        <v>0.4403823076297575</v>
      </c>
      <c r="D12" s="23">
        <f t="shared" si="6"/>
        <v>0.42711980288404672</v>
      </c>
      <c r="E12" s="23">
        <f t="shared" si="6"/>
        <v>0.41600201428631822</v>
      </c>
      <c r="F12" s="23">
        <f t="shared" si="6"/>
        <v>0.40626213465768424</v>
      </c>
      <c r="G12" s="23">
        <f t="shared" si="6"/>
        <v>0.39750608598211912</v>
      </c>
      <c r="H12" s="23">
        <f t="shared" si="6"/>
        <v>0.38949928644460752</v>
      </c>
      <c r="I12" s="23">
        <f t="shared" si="6"/>
        <v>0.38208857781104733</v>
      </c>
      <c r="J12" s="23">
        <f t="shared" si="6"/>
        <v>0.37516735533499457</v>
      </c>
      <c r="K12" s="23">
        <f t="shared" si="6"/>
        <v>0.36865783860820911</v>
      </c>
      <c r="L12" s="23">
        <f t="shared" si="6"/>
        <v>0.36250118612363513</v>
      </c>
      <c r="M12" s="23">
        <f t="shared" si="6"/>
        <v>0.35665158693922883</v>
      </c>
      <c r="N12" s="23">
        <f t="shared" si="6"/>
        <v>0.35107253218090073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2"/>
  <sheetViews>
    <sheetView topLeftCell="A13" workbookViewId="0">
      <selection activeCell="A30" sqref="A30"/>
    </sheetView>
  </sheetViews>
  <sheetFormatPr defaultRowHeight="12.75"/>
  <cols>
    <col min="1" max="1" width="15.7109375" bestFit="1" customWidth="1"/>
    <col min="2" max="14" width="7" bestFit="1" customWidth="1"/>
  </cols>
  <sheetData>
    <row r="1" spans="1:14">
      <c r="A1" t="s">
        <v>700</v>
      </c>
      <c r="B1" s="30">
        <v>100</v>
      </c>
      <c r="C1" s="30">
        <f>B1</f>
        <v>100</v>
      </c>
      <c r="D1" s="30">
        <f t="shared" ref="D1:N5" si="0">C1</f>
        <v>100</v>
      </c>
      <c r="E1" s="30">
        <f t="shared" si="0"/>
        <v>100</v>
      </c>
      <c r="F1" s="30">
        <f t="shared" si="0"/>
        <v>100</v>
      </c>
      <c r="G1" s="30">
        <f t="shared" si="0"/>
        <v>100</v>
      </c>
      <c r="H1" s="30">
        <f t="shared" si="0"/>
        <v>100</v>
      </c>
      <c r="I1" s="30">
        <f t="shared" si="0"/>
        <v>100</v>
      </c>
      <c r="J1" s="30">
        <f t="shared" si="0"/>
        <v>100</v>
      </c>
      <c r="K1" s="30">
        <f t="shared" si="0"/>
        <v>100</v>
      </c>
      <c r="L1" s="30">
        <f t="shared" si="0"/>
        <v>100</v>
      </c>
      <c r="M1" s="30">
        <f t="shared" si="0"/>
        <v>100</v>
      </c>
      <c r="N1" s="30">
        <f t="shared" si="0"/>
        <v>100</v>
      </c>
    </row>
    <row r="2" spans="1:14">
      <c r="A2" t="s">
        <v>694</v>
      </c>
      <c r="B2" s="37">
        <v>100</v>
      </c>
      <c r="C2" s="37">
        <f>B2</f>
        <v>100</v>
      </c>
      <c r="D2" s="37">
        <f t="shared" si="0"/>
        <v>100</v>
      </c>
      <c r="E2" s="37">
        <f t="shared" si="0"/>
        <v>100</v>
      </c>
      <c r="F2" s="37">
        <f t="shared" si="0"/>
        <v>100</v>
      </c>
      <c r="G2" s="37">
        <f t="shared" si="0"/>
        <v>100</v>
      </c>
      <c r="H2" s="37">
        <f t="shared" si="0"/>
        <v>100</v>
      </c>
      <c r="I2" s="37">
        <f t="shared" si="0"/>
        <v>100</v>
      </c>
      <c r="J2" s="37">
        <f t="shared" si="0"/>
        <v>100</v>
      </c>
      <c r="K2" s="37">
        <f t="shared" si="0"/>
        <v>100</v>
      </c>
      <c r="L2" s="37">
        <f t="shared" si="0"/>
        <v>100</v>
      </c>
      <c r="M2" s="37">
        <f t="shared" si="0"/>
        <v>100</v>
      </c>
      <c r="N2" s="37">
        <f t="shared" si="0"/>
        <v>100</v>
      </c>
    </row>
    <row r="3" spans="1:14">
      <c r="A3" s="13" t="s">
        <v>698</v>
      </c>
      <c r="B3" s="38">
        <v>0.05</v>
      </c>
      <c r="C3" s="38">
        <f>B3</f>
        <v>0.05</v>
      </c>
      <c r="D3" s="38">
        <f t="shared" si="0"/>
        <v>0.05</v>
      </c>
      <c r="E3" s="38">
        <f t="shared" si="0"/>
        <v>0.05</v>
      </c>
      <c r="F3" s="38">
        <f t="shared" si="0"/>
        <v>0.05</v>
      </c>
      <c r="G3" s="38">
        <f t="shared" si="0"/>
        <v>0.05</v>
      </c>
      <c r="H3" s="38">
        <f t="shared" si="0"/>
        <v>0.05</v>
      </c>
      <c r="I3" s="38">
        <f t="shared" si="0"/>
        <v>0.05</v>
      </c>
      <c r="J3" s="38">
        <f t="shared" si="0"/>
        <v>0.05</v>
      </c>
      <c r="K3" s="38">
        <f t="shared" si="0"/>
        <v>0.05</v>
      </c>
      <c r="L3" s="38">
        <f t="shared" si="0"/>
        <v>0.05</v>
      </c>
      <c r="M3" s="38">
        <f t="shared" si="0"/>
        <v>0.05</v>
      </c>
      <c r="N3" s="38">
        <f t="shared" si="0"/>
        <v>0.05</v>
      </c>
    </row>
    <row r="4" spans="1:14">
      <c r="A4" s="13" t="s">
        <v>589</v>
      </c>
      <c r="B4" s="38">
        <v>0.05</v>
      </c>
      <c r="C4" s="38">
        <f>B4+0.05</f>
        <v>0.1</v>
      </c>
      <c r="D4" s="38">
        <f t="shared" ref="D4:N4" si="1">C4+0.05</f>
        <v>0.15000000000000002</v>
      </c>
      <c r="E4" s="38">
        <f t="shared" si="1"/>
        <v>0.2</v>
      </c>
      <c r="F4" s="38">
        <f t="shared" si="1"/>
        <v>0.25</v>
      </c>
      <c r="G4" s="38">
        <f t="shared" si="1"/>
        <v>0.3</v>
      </c>
      <c r="H4" s="38">
        <f t="shared" si="1"/>
        <v>0.35</v>
      </c>
      <c r="I4" s="38">
        <f t="shared" si="1"/>
        <v>0.39999999999999997</v>
      </c>
      <c r="J4" s="38">
        <f t="shared" si="1"/>
        <v>0.44999999999999996</v>
      </c>
      <c r="K4" s="38">
        <f t="shared" si="1"/>
        <v>0.49999999999999994</v>
      </c>
      <c r="L4" s="38">
        <f t="shared" si="1"/>
        <v>0.54999999999999993</v>
      </c>
      <c r="M4" s="38">
        <f t="shared" si="1"/>
        <v>0.6</v>
      </c>
      <c r="N4" s="38">
        <f t="shared" si="1"/>
        <v>0.65</v>
      </c>
    </row>
    <row r="5" spans="1:14">
      <c r="A5" s="13" t="s">
        <v>696</v>
      </c>
      <c r="B5" s="38">
        <v>1</v>
      </c>
      <c r="C5" s="38">
        <f>B5</f>
        <v>1</v>
      </c>
      <c r="D5" s="38">
        <f t="shared" si="0"/>
        <v>1</v>
      </c>
      <c r="E5" s="38">
        <f t="shared" si="0"/>
        <v>1</v>
      </c>
      <c r="F5" s="38">
        <f t="shared" si="0"/>
        <v>1</v>
      </c>
      <c r="G5" s="38">
        <f t="shared" si="0"/>
        <v>1</v>
      </c>
      <c r="H5" s="38">
        <f t="shared" si="0"/>
        <v>1</v>
      </c>
      <c r="I5" s="38">
        <f t="shared" si="0"/>
        <v>1</v>
      </c>
      <c r="J5" s="38">
        <f t="shared" si="0"/>
        <v>1</v>
      </c>
      <c r="K5" s="38">
        <f t="shared" si="0"/>
        <v>1</v>
      </c>
      <c r="L5" s="38">
        <f t="shared" si="0"/>
        <v>1</v>
      </c>
      <c r="M5" s="38">
        <f t="shared" si="0"/>
        <v>1</v>
      </c>
      <c r="N5" s="38">
        <f t="shared" si="0"/>
        <v>1</v>
      </c>
    </row>
    <row r="6" spans="1:14">
      <c r="A6" s="13" t="s">
        <v>697</v>
      </c>
      <c r="B6" s="23">
        <f>B1*B11-B2*B12*EXP(-B3*B5)</f>
        <v>5.2832689876499046</v>
      </c>
      <c r="C6" s="23">
        <f t="shared" ref="C6:N6" si="2">C1*C11-C2*C12*EXP(-C3*C5)</f>
        <v>6.8049577088221582</v>
      </c>
      <c r="D6" s="23">
        <f t="shared" si="2"/>
        <v>8.5916583120891588</v>
      </c>
      <c r="E6" s="23">
        <f t="shared" si="2"/>
        <v>10.450583572185572</v>
      </c>
      <c r="F6" s="23">
        <f t="shared" si="2"/>
        <v>12.335998930368717</v>
      </c>
      <c r="G6" s="23">
        <f t="shared" si="2"/>
        <v>14.231254785985826</v>
      </c>
      <c r="H6" s="23">
        <f t="shared" si="2"/>
        <v>16.1284288815759</v>
      </c>
      <c r="I6" s="23">
        <f t="shared" si="2"/>
        <v>18.022951450216674</v>
      </c>
      <c r="J6" s="23">
        <f t="shared" si="2"/>
        <v>19.911769631467692</v>
      </c>
      <c r="K6" s="23">
        <f t="shared" si="2"/>
        <v>21.792604212866848</v>
      </c>
      <c r="L6" s="23">
        <f t="shared" si="2"/>
        <v>23.663609944142415</v>
      </c>
      <c r="M6" s="23">
        <f t="shared" si="2"/>
        <v>25.52320566560951</v>
      </c>
      <c r="N6" s="39">
        <f t="shared" si="2"/>
        <v>27.369983306834776</v>
      </c>
    </row>
    <row r="7" spans="1:14">
      <c r="A7" t="s">
        <v>701</v>
      </c>
      <c r="B7" s="4">
        <f t="shared" ref="B7:N7" si="3">IF(B1&gt;B2,B1-B2,0)</f>
        <v>0</v>
      </c>
      <c r="C7" s="4">
        <f t="shared" si="3"/>
        <v>0</v>
      </c>
      <c r="D7" s="4">
        <f t="shared" si="3"/>
        <v>0</v>
      </c>
      <c r="E7" s="4">
        <f t="shared" si="3"/>
        <v>0</v>
      </c>
      <c r="F7" s="4">
        <f t="shared" si="3"/>
        <v>0</v>
      </c>
      <c r="G7" s="4">
        <f t="shared" si="3"/>
        <v>0</v>
      </c>
      <c r="H7" s="4">
        <f t="shared" si="3"/>
        <v>0</v>
      </c>
      <c r="I7" s="4">
        <f t="shared" si="3"/>
        <v>0</v>
      </c>
      <c r="J7" s="4">
        <f t="shared" si="3"/>
        <v>0</v>
      </c>
      <c r="K7" s="4">
        <f t="shared" si="3"/>
        <v>0</v>
      </c>
      <c r="L7" s="4">
        <f t="shared" si="3"/>
        <v>0</v>
      </c>
      <c r="M7" s="4">
        <f t="shared" si="3"/>
        <v>0</v>
      </c>
      <c r="N7">
        <f t="shared" si="3"/>
        <v>0</v>
      </c>
    </row>
    <row r="9" spans="1:14">
      <c r="A9" s="13" t="s">
        <v>554</v>
      </c>
      <c r="B9" s="23">
        <f>(LN(B1/B2)+(B3+B4^2/2)*B5)/(B4*SQRT(B5))</f>
        <v>1.0249999999999999</v>
      </c>
      <c r="C9" s="23">
        <f t="shared" ref="C9:N9" si="4">(LN(C1/C2)+(C3+C4^2/2)*C5)/(C4*SQRT(C5))</f>
        <v>0.55000000000000004</v>
      </c>
      <c r="D9" s="23">
        <f t="shared" si="4"/>
        <v>0.40833333333333333</v>
      </c>
      <c r="E9" s="23">
        <f t="shared" si="4"/>
        <v>0.35000000000000003</v>
      </c>
      <c r="F9" s="23">
        <f t="shared" si="4"/>
        <v>0.32500000000000001</v>
      </c>
      <c r="G9" s="23">
        <f t="shared" si="4"/>
        <v>0.31666666666666671</v>
      </c>
      <c r="H9" s="23">
        <f t="shared" si="4"/>
        <v>0.31785714285714284</v>
      </c>
      <c r="I9" s="23">
        <f t="shared" si="4"/>
        <v>0.32500000000000001</v>
      </c>
      <c r="J9" s="23">
        <f t="shared" si="4"/>
        <v>0.33611111111111114</v>
      </c>
      <c r="K9" s="23">
        <f t="shared" si="4"/>
        <v>0.35000000000000003</v>
      </c>
      <c r="L9" s="23">
        <f t="shared" si="4"/>
        <v>0.36590909090909091</v>
      </c>
      <c r="M9" s="23">
        <f t="shared" si="4"/>
        <v>0.3833333333333333</v>
      </c>
      <c r="N9" s="23">
        <f t="shared" si="4"/>
        <v>0.40192307692307699</v>
      </c>
    </row>
    <row r="10" spans="1:14">
      <c r="A10" s="13" t="s">
        <v>555</v>
      </c>
      <c r="B10" s="23">
        <f>B9-B4*SQRT(B5)</f>
        <v>0.97499999999999987</v>
      </c>
      <c r="C10" s="23">
        <f t="shared" ref="C10:N10" si="5">C9-C4*SQRT(C5)</f>
        <v>0.45000000000000007</v>
      </c>
      <c r="D10" s="23">
        <f t="shared" si="5"/>
        <v>0.2583333333333333</v>
      </c>
      <c r="E10" s="23">
        <f t="shared" si="5"/>
        <v>0.15000000000000002</v>
      </c>
      <c r="F10" s="23">
        <f t="shared" si="5"/>
        <v>7.5000000000000011E-2</v>
      </c>
      <c r="G10" s="23">
        <f t="shared" si="5"/>
        <v>1.6666666666666718E-2</v>
      </c>
      <c r="H10" s="23">
        <f t="shared" si="5"/>
        <v>-3.214285714285714E-2</v>
      </c>
      <c r="I10" s="23">
        <f t="shared" si="5"/>
        <v>-7.4999999999999956E-2</v>
      </c>
      <c r="J10" s="23">
        <f t="shared" si="5"/>
        <v>-0.11388888888888882</v>
      </c>
      <c r="K10" s="23">
        <f t="shared" si="5"/>
        <v>-0.14999999999999991</v>
      </c>
      <c r="L10" s="23">
        <f t="shared" si="5"/>
        <v>-0.18409090909090903</v>
      </c>
      <c r="M10" s="23">
        <f t="shared" si="5"/>
        <v>-0.21666666666666667</v>
      </c>
      <c r="N10" s="23">
        <f t="shared" si="5"/>
        <v>-0.24807692307692303</v>
      </c>
    </row>
    <row r="11" spans="1:14">
      <c r="A11" s="13" t="s">
        <v>592</v>
      </c>
      <c r="B11" s="23">
        <f>NORMSDIST(B9)</f>
        <v>0.84731840616688947</v>
      </c>
      <c r="C11" s="23">
        <f t="shared" ref="C11:N12" si="6">NORMSDIST(C9)</f>
        <v>0.70884031321165364</v>
      </c>
      <c r="D11" s="23">
        <f t="shared" si="6"/>
        <v>0.6584855148307418</v>
      </c>
      <c r="E11" s="23">
        <f t="shared" si="6"/>
        <v>0.6368306511756191</v>
      </c>
      <c r="F11" s="23">
        <f t="shared" si="6"/>
        <v>0.62740946415328402</v>
      </c>
      <c r="G11" s="23">
        <f t="shared" si="6"/>
        <v>0.62425172790601247</v>
      </c>
      <c r="H11" s="23">
        <f t="shared" si="6"/>
        <v>0.62470334853983167</v>
      </c>
      <c r="I11" s="23">
        <f t="shared" si="6"/>
        <v>0.62740946415328402</v>
      </c>
      <c r="J11" s="23">
        <f t="shared" si="6"/>
        <v>0.63160646004647802</v>
      </c>
      <c r="K11" s="23">
        <f t="shared" si="6"/>
        <v>0.6368306511756191</v>
      </c>
      <c r="L11" s="23">
        <f t="shared" si="6"/>
        <v>0.64278354373045021</v>
      </c>
      <c r="M11" s="23">
        <f t="shared" si="6"/>
        <v>0.64926368651678124</v>
      </c>
      <c r="N11" s="23">
        <f t="shared" si="6"/>
        <v>0.65612968066300359</v>
      </c>
    </row>
    <row r="12" spans="1:14">
      <c r="A12" s="13" t="s">
        <v>593</v>
      </c>
      <c r="B12" s="23">
        <f>NORMSDIST(B10)</f>
        <v>0.83521987001968956</v>
      </c>
      <c r="C12" s="23">
        <f t="shared" si="6"/>
        <v>0.67364477971207992</v>
      </c>
      <c r="D12" s="23">
        <f t="shared" si="6"/>
        <v>0.60192516858946299</v>
      </c>
      <c r="E12" s="23">
        <f t="shared" si="6"/>
        <v>0.5596176923702425</v>
      </c>
      <c r="F12" s="23">
        <f t="shared" si="6"/>
        <v>0.52989264405289482</v>
      </c>
      <c r="G12" s="23">
        <f t="shared" si="6"/>
        <v>0.50664873019368262</v>
      </c>
      <c r="H12" s="23">
        <f t="shared" si="6"/>
        <v>0.48717906299767211</v>
      </c>
      <c r="I12" s="23">
        <f t="shared" si="6"/>
        <v>0.47010735594710529</v>
      </c>
      <c r="J12" s="23">
        <f t="shared" si="6"/>
        <v>0.45466293681864178</v>
      </c>
      <c r="K12" s="23">
        <f t="shared" si="6"/>
        <v>0.4403823076297575</v>
      </c>
      <c r="L12" s="23">
        <f t="shared" si="6"/>
        <v>0.4269710690480446</v>
      </c>
      <c r="M12" s="23">
        <f t="shared" si="6"/>
        <v>0.41423406353047521</v>
      </c>
      <c r="N12" s="23">
        <f t="shared" si="6"/>
        <v>0.40203744516774953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B10" sqref="B10"/>
    </sheetView>
  </sheetViews>
  <sheetFormatPr defaultRowHeight="12.75"/>
  <cols>
    <col min="1" max="1" width="15.7109375" bestFit="1" customWidth="1"/>
    <col min="2" max="2" width="7" customWidth="1"/>
    <col min="3" max="3" width="42.140625" customWidth="1"/>
  </cols>
  <sheetData>
    <row r="1" spans="1:3" ht="18.75">
      <c r="B1" s="36" t="s">
        <v>45</v>
      </c>
      <c r="C1" s="36"/>
    </row>
    <row r="2" spans="1:3" ht="18.75">
      <c r="A2" s="36" t="s">
        <v>553</v>
      </c>
      <c r="B2" s="36"/>
      <c r="C2" s="36"/>
    </row>
    <row r="3" spans="1:3" ht="18.75">
      <c r="A3" s="55" t="s">
        <v>583</v>
      </c>
      <c r="B3" s="36"/>
      <c r="C3" s="36"/>
    </row>
    <row r="4" spans="1:3">
      <c r="A4" t="s">
        <v>700</v>
      </c>
      <c r="B4" s="19">
        <v>100</v>
      </c>
      <c r="C4" s="37" t="s">
        <v>553</v>
      </c>
    </row>
    <row r="5" spans="1:3">
      <c r="A5" t="s">
        <v>694</v>
      </c>
      <c r="B5" s="37">
        <v>100</v>
      </c>
      <c r="C5" s="37" t="s">
        <v>553</v>
      </c>
    </row>
    <row r="6" spans="1:3">
      <c r="A6" s="13" t="s">
        <v>698</v>
      </c>
      <c r="B6" s="38">
        <v>0.06</v>
      </c>
      <c r="C6" s="38" t="s">
        <v>553</v>
      </c>
    </row>
    <row r="7" spans="1:3">
      <c r="A7" s="13" t="s">
        <v>130</v>
      </c>
      <c r="B7" s="38">
        <v>0.02</v>
      </c>
      <c r="C7" s="38"/>
    </row>
    <row r="8" spans="1:3">
      <c r="A8" s="13" t="s">
        <v>589</v>
      </c>
      <c r="B8" s="38">
        <v>0.5</v>
      </c>
      <c r="C8" s="38" t="s">
        <v>553</v>
      </c>
    </row>
    <row r="9" spans="1:3">
      <c r="A9" s="13" t="s">
        <v>696</v>
      </c>
      <c r="B9" s="38">
        <v>1</v>
      </c>
      <c r="C9" s="38" t="s">
        <v>553</v>
      </c>
    </row>
    <row r="10" spans="1:3">
      <c r="A10" s="13"/>
      <c r="B10" s="38"/>
      <c r="C10" s="38"/>
    </row>
    <row r="11" spans="1:3" ht="15">
      <c r="A11" s="55" t="s">
        <v>605</v>
      </c>
      <c r="B11" s="38"/>
      <c r="C11" s="38"/>
    </row>
    <row r="12" spans="1:3">
      <c r="A12" s="13" t="s">
        <v>697</v>
      </c>
      <c r="B12" s="23">
        <f>B4*B17*EXP(-B7*B9)-B5*B18*EXP(-B6*B9)</f>
        <v>20.952110973366345</v>
      </c>
      <c r="C12" s="23" t="s">
        <v>131</v>
      </c>
    </row>
    <row r="13" spans="1:3">
      <c r="A13" t="s">
        <v>701</v>
      </c>
      <c r="B13" s="4">
        <f>IF(B4&gt;B5,B4-B5,0)</f>
        <v>0</v>
      </c>
      <c r="C13" s="4" t="s">
        <v>46</v>
      </c>
    </row>
    <row r="15" spans="1:3">
      <c r="A15" s="13" t="s">
        <v>554</v>
      </c>
      <c r="B15" s="23">
        <f>(LN(B4/B5)+(B6-B7+B8^2/2)*B9)/(B8*SQRT(B9))</f>
        <v>0.32999999999999996</v>
      </c>
      <c r="C15" s="23" t="s">
        <v>132</v>
      </c>
    </row>
    <row r="16" spans="1:3">
      <c r="A16" s="13" t="s">
        <v>555</v>
      </c>
      <c r="B16" s="23">
        <f>B15-B8*SQRT(B9)</f>
        <v>-0.17000000000000004</v>
      </c>
      <c r="C16" s="23" t="s">
        <v>133</v>
      </c>
    </row>
    <row r="17" spans="1:3">
      <c r="A17" s="13" t="s">
        <v>592</v>
      </c>
      <c r="B17" s="23">
        <f>NORMSDIST(B15)</f>
        <v>0.62930001894065346</v>
      </c>
      <c r="C17" s="23" t="s">
        <v>567</v>
      </c>
    </row>
    <row r="18" spans="1:3">
      <c r="A18" s="13" t="s">
        <v>593</v>
      </c>
      <c r="B18" s="23">
        <f>NORMSDIST(B16)</f>
        <v>0.43250506832496161</v>
      </c>
      <c r="C18" s="23" t="s">
        <v>568</v>
      </c>
    </row>
  </sheetData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B17"/>
    </sheetView>
  </sheetViews>
  <sheetFormatPr defaultRowHeight="12.75"/>
  <cols>
    <col min="1" max="1" width="30.5703125" customWidth="1"/>
    <col min="2" max="2" width="25.7109375" customWidth="1"/>
  </cols>
  <sheetData>
    <row r="1" spans="1:3">
      <c r="A1" s="56" t="s">
        <v>65</v>
      </c>
      <c r="B1" s="52"/>
    </row>
    <row r="2" spans="1:3">
      <c r="A2" s="13" t="s">
        <v>134</v>
      </c>
      <c r="B2" s="57">
        <v>20</v>
      </c>
    </row>
    <row r="3" spans="1:3">
      <c r="A3" s="13" t="s">
        <v>66</v>
      </c>
      <c r="B3" s="58">
        <f>((1/B6)-(1/(B6*((1+B6)^B7))))*B2</f>
        <v>82.228146470446561</v>
      </c>
    </row>
    <row r="4" spans="1:3">
      <c r="A4" s="13" t="s">
        <v>6</v>
      </c>
      <c r="B4" s="59">
        <v>100</v>
      </c>
    </row>
    <row r="5" spans="1:3">
      <c r="A5" s="13" t="s">
        <v>698</v>
      </c>
      <c r="B5" s="60">
        <v>0.05</v>
      </c>
    </row>
    <row r="6" spans="1:3">
      <c r="A6" s="13" t="s">
        <v>462</v>
      </c>
      <c r="B6" s="60">
        <v>0.12</v>
      </c>
    </row>
    <row r="7" spans="1:3">
      <c r="A7" s="13" t="s">
        <v>611</v>
      </c>
      <c r="B7" s="60">
        <v>6</v>
      </c>
    </row>
    <row r="8" spans="1:3">
      <c r="A8" s="13" t="s">
        <v>463</v>
      </c>
      <c r="B8" s="60">
        <v>1</v>
      </c>
    </row>
    <row r="9" spans="1:3">
      <c r="A9" s="13" t="s">
        <v>589</v>
      </c>
      <c r="B9" s="60">
        <v>0.45</v>
      </c>
    </row>
    <row r="10" spans="1:3" ht="18">
      <c r="A10" s="13" t="s">
        <v>697</v>
      </c>
      <c r="B10" s="61">
        <f>B3*B14-B4*B15*EXP(-B5*B8)</f>
        <v>10.143149960279853</v>
      </c>
      <c r="C10" s="62" t="s">
        <v>553</v>
      </c>
    </row>
    <row r="11" spans="1:3" ht="18">
      <c r="B11" s="63" t="s">
        <v>553</v>
      </c>
    </row>
    <row r="12" spans="1:3">
      <c r="A12" s="13" t="s">
        <v>554</v>
      </c>
      <c r="B12" s="23">
        <f>(LN(B3/B4)+(B5+B9^2/2)*B8)/(B9*SQRT(B8))</f>
        <v>-9.8716729009108245E-2</v>
      </c>
    </row>
    <row r="13" spans="1:3">
      <c r="A13" s="13" t="s">
        <v>555</v>
      </c>
      <c r="B13" s="23">
        <f>B12-B9*SQRT(B8)</f>
        <v>-0.54871672900910828</v>
      </c>
    </row>
    <row r="14" spans="1:3">
      <c r="A14" s="13" t="s">
        <v>592</v>
      </c>
      <c r="B14" s="64">
        <f>NORMSDIST(B12)</f>
        <v>0.46068159295824607</v>
      </c>
    </row>
    <row r="15" spans="1:3">
      <c r="A15" s="13" t="s">
        <v>593</v>
      </c>
      <c r="B15" s="64">
        <f>NORMSDIST(B13)</f>
        <v>0.29159993191220535</v>
      </c>
    </row>
    <row r="16" spans="1:3">
      <c r="A16" s="13" t="str">
        <f>A3</f>
        <v>ASSET  VALUE</v>
      </c>
      <c r="B16" s="215" t="s">
        <v>135</v>
      </c>
    </row>
    <row r="17" spans="1:1">
      <c r="A17" s="216" t="s">
        <v>464</v>
      </c>
    </row>
    <row r="18" spans="1:1">
      <c r="A18" s="13" t="s">
        <v>553</v>
      </c>
    </row>
  </sheetData>
  <phoneticPr fontId="8" type="noConversion"/>
  <printOptions headings="1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20"/>
  <sheetViews>
    <sheetView workbookViewId="0">
      <selection activeCell="B10" sqref="B10"/>
    </sheetView>
  </sheetViews>
  <sheetFormatPr defaultRowHeight="12.75"/>
  <cols>
    <col min="1" max="2" width="25.7109375" customWidth="1"/>
  </cols>
  <sheetData>
    <row r="1" spans="1:2" ht="18">
      <c r="A1" s="65" t="s">
        <v>67</v>
      </c>
      <c r="B1" s="66"/>
    </row>
    <row r="2" spans="1:2">
      <c r="A2" s="13" t="s">
        <v>553</v>
      </c>
      <c r="B2" s="67" t="s">
        <v>137</v>
      </c>
    </row>
    <row r="3" spans="1:2">
      <c r="A3" s="13" t="s">
        <v>68</v>
      </c>
      <c r="B3" s="68">
        <v>350</v>
      </c>
    </row>
    <row r="4" spans="1:2">
      <c r="A4" s="13" t="s">
        <v>6</v>
      </c>
      <c r="B4" s="68">
        <v>320</v>
      </c>
    </row>
    <row r="5" spans="1:2">
      <c r="A5" s="13" t="s">
        <v>698</v>
      </c>
      <c r="B5" s="38">
        <v>0.06</v>
      </c>
    </row>
    <row r="6" spans="1:2">
      <c r="A6" s="13" t="s">
        <v>130</v>
      </c>
      <c r="B6" s="69">
        <v>0</v>
      </c>
    </row>
    <row r="7" spans="1:2">
      <c r="A7" s="13" t="s">
        <v>696</v>
      </c>
      <c r="B7" s="38">
        <v>5</v>
      </c>
    </row>
    <row r="8" spans="1:2">
      <c r="A8" s="13" t="s">
        <v>589</v>
      </c>
      <c r="B8" s="70">
        <f>SQRT(0.1)</f>
        <v>0.31622776601683794</v>
      </c>
    </row>
    <row r="9" spans="1:2">
      <c r="A9" s="13"/>
      <c r="B9" s="70"/>
    </row>
    <row r="10" spans="1:2">
      <c r="A10" s="13" t="s">
        <v>697</v>
      </c>
      <c r="B10" s="217">
        <f>B3*B14*EXP(-B6*B7)-B4*B15*EXP(-B5*B7)</f>
        <v>148.91853916638848</v>
      </c>
    </row>
    <row r="11" spans="1:2">
      <c r="B11" s="4"/>
    </row>
    <row r="12" spans="1:2">
      <c r="A12" s="13" t="s">
        <v>554</v>
      </c>
      <c r="B12" s="23">
        <f>(LN(B3/B4)+(B5-B6+B8^2/2)*B7)/(B8*SQRT(B7))</f>
        <v>0.90454818947768789</v>
      </c>
    </row>
    <row r="13" spans="1:2">
      <c r="A13" s="13" t="s">
        <v>555</v>
      </c>
      <c r="B13" s="23">
        <f>B12-B8*SQRT(B7)</f>
        <v>0.19744140829114032</v>
      </c>
    </row>
    <row r="14" spans="1:2">
      <c r="A14" s="13" t="s">
        <v>592</v>
      </c>
      <c r="B14" s="23">
        <f>NORMSDIST(B12)</f>
        <v>0.81714760309252743</v>
      </c>
    </row>
    <row r="15" spans="1:2">
      <c r="A15" s="13" t="s">
        <v>593</v>
      </c>
      <c r="B15" s="23">
        <f>NORMSDIST(B13)</f>
        <v>0.57825893590100741</v>
      </c>
    </row>
    <row r="17" spans="1:2" ht="15">
      <c r="A17" s="13" t="s">
        <v>69</v>
      </c>
      <c r="B17" s="71">
        <v>800</v>
      </c>
    </row>
    <row r="18" spans="1:2" ht="15">
      <c r="A18" s="13" t="s">
        <v>70</v>
      </c>
      <c r="B18" s="71">
        <v>700</v>
      </c>
    </row>
    <row r="19" spans="1:2" ht="15">
      <c r="A19" s="13" t="s">
        <v>71</v>
      </c>
      <c r="B19" s="72">
        <f>-B17+B18+B10</f>
        <v>48.918539166388484</v>
      </c>
    </row>
    <row r="20" spans="1:2" ht="15">
      <c r="A20" s="13" t="s">
        <v>17</v>
      </c>
      <c r="B20" s="72" t="s">
        <v>136</v>
      </c>
    </row>
  </sheetData>
  <phoneticPr fontId="8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2.75"/>
  <cols>
    <col min="1" max="1" width="31.140625" bestFit="1" customWidth="1"/>
    <col min="2" max="2" width="9.28515625" bestFit="1" customWidth="1"/>
    <col min="3" max="3" width="45.28515625" bestFit="1" customWidth="1"/>
  </cols>
  <sheetData>
    <row r="1" spans="1:3" ht="15.75">
      <c r="A1" s="73" t="s">
        <v>51</v>
      </c>
      <c r="B1" s="74"/>
      <c r="C1" s="74"/>
    </row>
    <row r="2" spans="1:3">
      <c r="A2" s="43" t="s">
        <v>553</v>
      </c>
      <c r="B2" s="17" t="s">
        <v>553</v>
      </c>
      <c r="C2" s="17"/>
    </row>
    <row r="3" spans="1:3">
      <c r="A3" s="75" t="s">
        <v>52</v>
      </c>
      <c r="B3" s="76">
        <v>100</v>
      </c>
      <c r="C3" s="17"/>
    </row>
    <row r="4" spans="1:3">
      <c r="A4" s="75" t="s">
        <v>53</v>
      </c>
      <c r="B4" s="76">
        <v>100</v>
      </c>
      <c r="C4" s="17"/>
    </row>
    <row r="5" spans="1:3">
      <c r="A5" s="75" t="s">
        <v>696</v>
      </c>
      <c r="B5" s="77">
        <v>1</v>
      </c>
      <c r="C5" s="17"/>
    </row>
    <row r="6" spans="1:3">
      <c r="A6" s="75" t="s">
        <v>54</v>
      </c>
      <c r="B6" s="77">
        <v>0.04</v>
      </c>
      <c r="C6" s="17"/>
    </row>
    <row r="7" spans="1:3">
      <c r="A7" s="75" t="s">
        <v>55</v>
      </c>
      <c r="B7" s="77">
        <v>0.04</v>
      </c>
      <c r="C7" s="17"/>
    </row>
    <row r="8" spans="1:3">
      <c r="A8" s="75" t="s">
        <v>189</v>
      </c>
      <c r="B8" s="77">
        <v>0.2</v>
      </c>
      <c r="C8" s="17"/>
    </row>
    <row r="9" spans="1:3">
      <c r="A9" s="75" t="s">
        <v>18</v>
      </c>
      <c r="B9" s="77">
        <v>0.2</v>
      </c>
      <c r="C9" s="17"/>
    </row>
    <row r="10" spans="1:3">
      <c r="A10" s="75" t="s">
        <v>56</v>
      </c>
      <c r="B10" s="78">
        <v>0.5</v>
      </c>
      <c r="C10" s="17"/>
    </row>
    <row r="11" spans="1:3">
      <c r="A11" s="75" t="s">
        <v>7</v>
      </c>
      <c r="B11" s="77">
        <f>SQRT(B8^2 + B9^2 -2*B10*B9*B8)</f>
        <v>0.2</v>
      </c>
      <c r="C11" s="77" t="s">
        <v>740</v>
      </c>
    </row>
    <row r="13" spans="1:3">
      <c r="A13" s="75" t="s">
        <v>190</v>
      </c>
      <c r="B13" s="246">
        <f>B3*B17*EXP(-B6*B5)-B4*B18*EXP(-B7*B5)</f>
        <v>7.653233088009344</v>
      </c>
      <c r="C13" s="246" t="s">
        <v>741</v>
      </c>
    </row>
    <row r="14" spans="1:3">
      <c r="A14" s="43"/>
      <c r="B14" s="14"/>
      <c r="C14" s="14"/>
    </row>
    <row r="15" spans="1:3">
      <c r="A15" s="75" t="s">
        <v>554</v>
      </c>
      <c r="B15" s="247">
        <f>(LN(B3/B4)+(B7-B6+(B11^2)/2)*B5)/(B11*SQRT(B5))</f>
        <v>0.10000000000000002</v>
      </c>
      <c r="C15" s="247" t="s">
        <v>742</v>
      </c>
    </row>
    <row r="16" spans="1:3">
      <c r="A16" s="75" t="s">
        <v>555</v>
      </c>
      <c r="B16" s="247">
        <f>B15-B11*SQRT(B5)</f>
        <v>-9.9999999999999992E-2</v>
      </c>
      <c r="C16" s="247" t="s">
        <v>743</v>
      </c>
    </row>
    <row r="17" spans="1:3">
      <c r="A17" s="75" t="s">
        <v>592</v>
      </c>
      <c r="B17" s="247">
        <f>NORMSDIST(B15)</f>
        <v>0.53982783727702899</v>
      </c>
      <c r="C17" s="247" t="s">
        <v>567</v>
      </c>
    </row>
    <row r="18" spans="1:3">
      <c r="A18" s="75" t="s">
        <v>593</v>
      </c>
      <c r="B18" s="247">
        <f>NORMSDIST(B16)</f>
        <v>0.46017216272297101</v>
      </c>
      <c r="C18" s="247" t="s">
        <v>568</v>
      </c>
    </row>
  </sheetData>
  <phoneticPr fontId="8" type="noConversion"/>
  <printOptions headings="1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33"/>
  <sheetViews>
    <sheetView workbookViewId="0">
      <selection activeCell="N1" sqref="A1:N32"/>
    </sheetView>
  </sheetViews>
  <sheetFormatPr defaultRowHeight="12.75"/>
  <cols>
    <col min="1" max="1" width="27.28515625" bestFit="1" customWidth="1"/>
    <col min="2" max="14" width="5.7109375" customWidth="1"/>
  </cols>
  <sheetData>
    <row r="1" spans="1:14" ht="18">
      <c r="A1" s="66" t="s">
        <v>177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>
      <c r="A2" t="s">
        <v>68</v>
      </c>
      <c r="B2">
        <v>0</v>
      </c>
      <c r="C2">
        <f>B2+25</f>
        <v>25</v>
      </c>
      <c r="D2">
        <f t="shared" ref="D2:N2" si="0">C2+25</f>
        <v>50</v>
      </c>
      <c r="E2">
        <f t="shared" si="0"/>
        <v>75</v>
      </c>
      <c r="F2">
        <f t="shared" si="0"/>
        <v>100</v>
      </c>
      <c r="G2">
        <f t="shared" si="0"/>
        <v>125</v>
      </c>
      <c r="H2">
        <f t="shared" si="0"/>
        <v>150</v>
      </c>
      <c r="I2">
        <f t="shared" si="0"/>
        <v>175</v>
      </c>
      <c r="J2">
        <f t="shared" si="0"/>
        <v>200</v>
      </c>
      <c r="K2">
        <f t="shared" si="0"/>
        <v>225</v>
      </c>
      <c r="L2">
        <f t="shared" si="0"/>
        <v>250</v>
      </c>
      <c r="M2">
        <f t="shared" si="0"/>
        <v>275</v>
      </c>
      <c r="N2">
        <f t="shared" si="0"/>
        <v>300</v>
      </c>
    </row>
    <row r="3" spans="1:14">
      <c r="A3" t="s">
        <v>149</v>
      </c>
      <c r="B3">
        <f>0-$B$6</f>
        <v>-150</v>
      </c>
      <c r="C3">
        <f>B3+25</f>
        <v>-125</v>
      </c>
      <c r="D3">
        <f t="shared" ref="D3:N3" si="1">C3+25</f>
        <v>-100</v>
      </c>
      <c r="E3">
        <f t="shared" si="1"/>
        <v>-75</v>
      </c>
      <c r="F3">
        <f t="shared" si="1"/>
        <v>-50</v>
      </c>
      <c r="G3">
        <f t="shared" si="1"/>
        <v>-25</v>
      </c>
      <c r="H3">
        <f t="shared" si="1"/>
        <v>0</v>
      </c>
      <c r="I3">
        <f t="shared" si="1"/>
        <v>25</v>
      </c>
      <c r="J3">
        <f t="shared" si="1"/>
        <v>50</v>
      </c>
      <c r="K3">
        <f t="shared" si="1"/>
        <v>75</v>
      </c>
      <c r="L3">
        <f t="shared" si="1"/>
        <v>100</v>
      </c>
      <c r="M3">
        <f t="shared" si="1"/>
        <v>125</v>
      </c>
      <c r="N3">
        <f t="shared" si="1"/>
        <v>150</v>
      </c>
    </row>
    <row r="4" spans="1:14">
      <c r="A4" t="s">
        <v>174</v>
      </c>
      <c r="B4">
        <f t="shared" ref="B4:N4" si="2">-B3-$B$7</f>
        <v>150</v>
      </c>
      <c r="C4">
        <f t="shared" si="2"/>
        <v>125</v>
      </c>
      <c r="D4">
        <f t="shared" si="2"/>
        <v>100</v>
      </c>
      <c r="E4">
        <f t="shared" si="2"/>
        <v>75</v>
      </c>
      <c r="F4">
        <f t="shared" si="2"/>
        <v>50</v>
      </c>
      <c r="G4">
        <f t="shared" si="2"/>
        <v>25</v>
      </c>
      <c r="H4">
        <f t="shared" si="2"/>
        <v>0</v>
      </c>
      <c r="I4">
        <f t="shared" si="2"/>
        <v>-25</v>
      </c>
      <c r="J4">
        <f t="shared" si="2"/>
        <v>-50</v>
      </c>
      <c r="K4">
        <f t="shared" si="2"/>
        <v>-75</v>
      </c>
      <c r="L4">
        <f t="shared" si="2"/>
        <v>-100</v>
      </c>
      <c r="M4">
        <f t="shared" si="2"/>
        <v>-125</v>
      </c>
      <c r="N4">
        <f t="shared" si="2"/>
        <v>-150</v>
      </c>
    </row>
    <row r="5" spans="1:14">
      <c r="A5" t="s">
        <v>148</v>
      </c>
      <c r="B5">
        <f t="shared" ref="B5:N5" si="3">B3+B4</f>
        <v>0</v>
      </c>
      <c r="C5">
        <f t="shared" si="3"/>
        <v>0</v>
      </c>
      <c r="D5">
        <f t="shared" si="3"/>
        <v>0</v>
      </c>
      <c r="E5">
        <f t="shared" si="3"/>
        <v>0</v>
      </c>
      <c r="F5">
        <f t="shared" si="3"/>
        <v>0</v>
      </c>
      <c r="G5">
        <f t="shared" si="3"/>
        <v>0</v>
      </c>
      <c r="H5">
        <f t="shared" si="3"/>
        <v>0</v>
      </c>
      <c r="I5">
        <f t="shared" si="3"/>
        <v>0</v>
      </c>
      <c r="J5">
        <f t="shared" si="3"/>
        <v>0</v>
      </c>
      <c r="K5">
        <f t="shared" si="3"/>
        <v>0</v>
      </c>
      <c r="L5">
        <f t="shared" si="3"/>
        <v>0</v>
      </c>
      <c r="M5">
        <f t="shared" si="3"/>
        <v>0</v>
      </c>
      <c r="N5">
        <f t="shared" si="3"/>
        <v>0</v>
      </c>
    </row>
    <row r="6" spans="1:14">
      <c r="A6" t="s">
        <v>178</v>
      </c>
      <c r="B6">
        <v>150</v>
      </c>
      <c r="C6" t="s">
        <v>553</v>
      </c>
      <c r="D6" t="s">
        <v>553</v>
      </c>
      <c r="E6" t="str">
        <f t="shared" ref="E6:N6" si="4">D6</f>
        <v xml:space="preserve"> </v>
      </c>
      <c r="F6" t="str">
        <f t="shared" si="4"/>
        <v xml:space="preserve"> </v>
      </c>
      <c r="G6" t="str">
        <f t="shared" si="4"/>
        <v xml:space="preserve"> </v>
      </c>
      <c r="H6" t="str">
        <f t="shared" si="4"/>
        <v xml:space="preserve"> </v>
      </c>
      <c r="I6" t="str">
        <f t="shared" si="4"/>
        <v xml:space="preserve"> </v>
      </c>
      <c r="J6" t="str">
        <f t="shared" si="4"/>
        <v xml:space="preserve"> </v>
      </c>
      <c r="K6" t="str">
        <f t="shared" si="4"/>
        <v xml:space="preserve"> </v>
      </c>
      <c r="L6" t="str">
        <f t="shared" si="4"/>
        <v xml:space="preserve"> </v>
      </c>
      <c r="M6" t="str">
        <f t="shared" si="4"/>
        <v xml:space="preserve"> </v>
      </c>
      <c r="N6" t="str">
        <f t="shared" si="4"/>
        <v xml:space="preserve"> </v>
      </c>
    </row>
    <row r="7" spans="1:14">
      <c r="A7" t="s">
        <v>175</v>
      </c>
      <c r="B7">
        <f>B33</f>
        <v>0</v>
      </c>
    </row>
    <row r="8" spans="1:14">
      <c r="A8" s="79" t="s">
        <v>179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</row>
    <row r="9" spans="1:14">
      <c r="A9" s="81" t="s">
        <v>176</v>
      </c>
    </row>
    <row r="10" spans="1:14">
      <c r="A10" t="str">
        <f>A4</f>
        <v>SHORT FUTURES POSITION</v>
      </c>
      <c r="B10" s="82" t="s">
        <v>571</v>
      </c>
    </row>
    <row r="11" spans="1:14">
      <c r="A11" t="s">
        <v>148</v>
      </c>
      <c r="B11" t="s">
        <v>164</v>
      </c>
    </row>
    <row r="33" spans="1:2">
      <c r="A33" t="s">
        <v>175</v>
      </c>
      <c r="B33">
        <v>0</v>
      </c>
    </row>
  </sheetData>
  <phoneticPr fontId="8" type="noConversion"/>
  <printOptions headings="1"/>
  <pageMargins left="0.75" right="0.75" top="1" bottom="1" header="0.5" footer="0.5"/>
  <pageSetup paperSize="9" scale="80" orientation="portrait" horizontalDpi="0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33"/>
  <sheetViews>
    <sheetView topLeftCell="A13" workbookViewId="0">
      <selection activeCell="I30" sqref="I30"/>
    </sheetView>
  </sheetViews>
  <sheetFormatPr defaultRowHeight="12.75"/>
  <cols>
    <col min="1" max="1" width="27.28515625" bestFit="1" customWidth="1"/>
    <col min="2" max="14" width="5.7109375" customWidth="1"/>
  </cols>
  <sheetData>
    <row r="1" spans="1:14" ht="18">
      <c r="A1" s="66" t="s">
        <v>146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>
      <c r="A2" t="s">
        <v>68</v>
      </c>
      <c r="B2">
        <v>0</v>
      </c>
      <c r="C2">
        <f>B2+25</f>
        <v>25</v>
      </c>
      <c r="D2">
        <f t="shared" ref="D2:N2" si="0">C2+25</f>
        <v>50</v>
      </c>
      <c r="E2">
        <f t="shared" si="0"/>
        <v>75</v>
      </c>
      <c r="F2">
        <f t="shared" si="0"/>
        <v>100</v>
      </c>
      <c r="G2">
        <f t="shared" si="0"/>
        <v>125</v>
      </c>
      <c r="H2">
        <f t="shared" si="0"/>
        <v>150</v>
      </c>
      <c r="I2">
        <f t="shared" si="0"/>
        <v>175</v>
      </c>
      <c r="J2">
        <f t="shared" si="0"/>
        <v>200</v>
      </c>
      <c r="K2">
        <f t="shared" si="0"/>
        <v>225</v>
      </c>
      <c r="L2">
        <f t="shared" si="0"/>
        <v>250</v>
      </c>
      <c r="M2">
        <f t="shared" si="0"/>
        <v>275</v>
      </c>
      <c r="N2">
        <f t="shared" si="0"/>
        <v>300</v>
      </c>
    </row>
    <row r="3" spans="1:14">
      <c r="A3" t="s">
        <v>149</v>
      </c>
      <c r="B3" s="83">
        <f>B2-$B$6</f>
        <v>-150</v>
      </c>
      <c r="C3" s="83">
        <f t="shared" ref="C3:N3" si="1">C2-$B$6</f>
        <v>-125</v>
      </c>
      <c r="D3" s="83">
        <f t="shared" si="1"/>
        <v>-100</v>
      </c>
      <c r="E3" s="83">
        <f t="shared" si="1"/>
        <v>-75</v>
      </c>
      <c r="F3" s="83">
        <f t="shared" si="1"/>
        <v>-50</v>
      </c>
      <c r="G3" s="83">
        <f t="shared" si="1"/>
        <v>-25</v>
      </c>
      <c r="H3" s="83">
        <f t="shared" si="1"/>
        <v>0</v>
      </c>
      <c r="I3" s="83">
        <f t="shared" si="1"/>
        <v>25</v>
      </c>
      <c r="J3" s="83">
        <f t="shared" si="1"/>
        <v>50</v>
      </c>
      <c r="K3" s="83">
        <f t="shared" si="1"/>
        <v>75</v>
      </c>
      <c r="L3" s="83">
        <f t="shared" si="1"/>
        <v>100</v>
      </c>
      <c r="M3" s="83">
        <f t="shared" si="1"/>
        <v>125</v>
      </c>
      <c r="N3" s="83">
        <f t="shared" si="1"/>
        <v>150</v>
      </c>
    </row>
    <row r="4" spans="1:14">
      <c r="A4" t="s">
        <v>150</v>
      </c>
      <c r="B4" s="83">
        <f t="shared" ref="B4:N4" si="2">IF(B3&gt;0,-B3+$B$7,$B$7)</f>
        <v>25</v>
      </c>
      <c r="C4" s="83">
        <f t="shared" si="2"/>
        <v>25</v>
      </c>
      <c r="D4" s="83">
        <f t="shared" si="2"/>
        <v>25</v>
      </c>
      <c r="E4" s="83">
        <f t="shared" si="2"/>
        <v>25</v>
      </c>
      <c r="F4" s="83">
        <f t="shared" si="2"/>
        <v>25</v>
      </c>
      <c r="G4" s="83">
        <f t="shared" si="2"/>
        <v>25</v>
      </c>
      <c r="H4" s="83">
        <f t="shared" si="2"/>
        <v>25</v>
      </c>
      <c r="I4" s="83">
        <f t="shared" si="2"/>
        <v>0</v>
      </c>
      <c r="J4" s="83">
        <f t="shared" si="2"/>
        <v>-25</v>
      </c>
      <c r="K4" s="83">
        <f t="shared" si="2"/>
        <v>-50</v>
      </c>
      <c r="L4" s="83">
        <f t="shared" si="2"/>
        <v>-75</v>
      </c>
      <c r="M4" s="83">
        <f t="shared" si="2"/>
        <v>-100</v>
      </c>
      <c r="N4" s="83">
        <f t="shared" si="2"/>
        <v>-125</v>
      </c>
    </row>
    <row r="5" spans="1:14">
      <c r="A5" t="s">
        <v>148</v>
      </c>
      <c r="B5" s="83">
        <f t="shared" ref="B5:N5" si="3">B3+B4</f>
        <v>-125</v>
      </c>
      <c r="C5" s="83">
        <f t="shared" si="3"/>
        <v>-100</v>
      </c>
      <c r="D5" s="83">
        <f t="shared" si="3"/>
        <v>-75</v>
      </c>
      <c r="E5" s="83">
        <f t="shared" si="3"/>
        <v>-50</v>
      </c>
      <c r="F5" s="83">
        <f t="shared" si="3"/>
        <v>-25</v>
      </c>
      <c r="G5" s="83">
        <f t="shared" si="3"/>
        <v>0</v>
      </c>
      <c r="H5" s="83">
        <f t="shared" si="3"/>
        <v>25</v>
      </c>
      <c r="I5" s="83">
        <f t="shared" si="3"/>
        <v>25</v>
      </c>
      <c r="J5" s="83">
        <f t="shared" si="3"/>
        <v>25</v>
      </c>
      <c r="K5" s="83">
        <f t="shared" si="3"/>
        <v>25</v>
      </c>
      <c r="L5" s="83">
        <f t="shared" si="3"/>
        <v>25</v>
      </c>
      <c r="M5" s="83">
        <f t="shared" si="3"/>
        <v>25</v>
      </c>
      <c r="N5" s="83">
        <f t="shared" si="3"/>
        <v>25</v>
      </c>
    </row>
    <row r="6" spans="1:14">
      <c r="A6" t="s">
        <v>178</v>
      </c>
      <c r="B6" s="83">
        <v>150</v>
      </c>
      <c r="C6" s="83" t="s">
        <v>553</v>
      </c>
      <c r="D6" s="83" t="s">
        <v>553</v>
      </c>
      <c r="E6" s="83" t="str">
        <f t="shared" ref="E6:N6" si="4">D6</f>
        <v xml:space="preserve"> </v>
      </c>
      <c r="F6" s="83" t="str">
        <f t="shared" si="4"/>
        <v xml:space="preserve"> </v>
      </c>
      <c r="G6" s="83" t="str">
        <f t="shared" si="4"/>
        <v xml:space="preserve"> </v>
      </c>
      <c r="H6" s="83" t="str">
        <f t="shared" si="4"/>
        <v xml:space="preserve"> </v>
      </c>
      <c r="I6" s="83" t="str">
        <f t="shared" si="4"/>
        <v xml:space="preserve"> </v>
      </c>
      <c r="J6" s="83" t="str">
        <f t="shared" si="4"/>
        <v xml:space="preserve"> </v>
      </c>
      <c r="K6" s="83" t="str">
        <f t="shared" si="4"/>
        <v xml:space="preserve"> </v>
      </c>
      <c r="L6" s="83" t="str">
        <f t="shared" si="4"/>
        <v xml:space="preserve"> </v>
      </c>
      <c r="M6" s="83" t="str">
        <f t="shared" si="4"/>
        <v xml:space="preserve"> </v>
      </c>
      <c r="N6" s="83" t="str">
        <f t="shared" si="4"/>
        <v xml:space="preserve"> </v>
      </c>
    </row>
    <row r="7" spans="1:14">
      <c r="A7" t="s">
        <v>147</v>
      </c>
      <c r="B7" s="83">
        <f>B33</f>
        <v>25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</row>
    <row r="8" spans="1:14" ht="22.5">
      <c r="A8" s="84" t="s">
        <v>180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</row>
    <row r="9" spans="1:14">
      <c r="A9" s="81" t="s">
        <v>151</v>
      </c>
    </row>
    <row r="10" spans="1:14">
      <c r="A10" t="s">
        <v>150</v>
      </c>
      <c r="B10" s="83" t="s">
        <v>570</v>
      </c>
    </row>
    <row r="11" spans="1:14">
      <c r="A11" t="s">
        <v>148</v>
      </c>
      <c r="B11" s="83" t="s">
        <v>164</v>
      </c>
    </row>
    <row r="12" spans="1:14">
      <c r="A12" s="81"/>
    </row>
    <row r="33" spans="1:2">
      <c r="A33" t="s">
        <v>147</v>
      </c>
      <c r="B33">
        <v>25</v>
      </c>
    </row>
  </sheetData>
  <phoneticPr fontId="8" type="noConversion"/>
  <printOptions headings="1"/>
  <pageMargins left="0.75" right="0.75" top="1" bottom="1" header="0.5" footer="0.5"/>
  <pageSetup paperSize="9" scale="80" orientation="portrait" horizontalDpi="0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32"/>
  <sheetViews>
    <sheetView topLeftCell="A13" workbookViewId="0">
      <selection activeCell="G30" sqref="G30"/>
    </sheetView>
  </sheetViews>
  <sheetFormatPr defaultRowHeight="12.75"/>
  <cols>
    <col min="1" max="1" width="27.28515625" bestFit="1" customWidth="1"/>
    <col min="2" max="14" width="5.7109375" customWidth="1"/>
  </cols>
  <sheetData>
    <row r="1" spans="1:14" ht="18">
      <c r="A1" s="66" t="s">
        <v>146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>
      <c r="A2" t="s">
        <v>160</v>
      </c>
      <c r="B2" s="83">
        <v>-150</v>
      </c>
      <c r="C2" s="83">
        <f t="shared" ref="C2:N2" si="0">B2+25</f>
        <v>-125</v>
      </c>
      <c r="D2" s="83">
        <f t="shared" si="0"/>
        <v>-100</v>
      </c>
      <c r="E2" s="83">
        <f t="shared" si="0"/>
        <v>-75</v>
      </c>
      <c r="F2" s="83">
        <f t="shared" si="0"/>
        <v>-50</v>
      </c>
      <c r="G2" s="83">
        <f t="shared" si="0"/>
        <v>-25</v>
      </c>
      <c r="H2" s="83">
        <f t="shared" si="0"/>
        <v>0</v>
      </c>
      <c r="I2" s="83">
        <f t="shared" si="0"/>
        <v>25</v>
      </c>
      <c r="J2" s="83">
        <f t="shared" si="0"/>
        <v>50</v>
      </c>
      <c r="K2" s="83">
        <f t="shared" si="0"/>
        <v>75</v>
      </c>
      <c r="L2" s="83">
        <f t="shared" si="0"/>
        <v>100</v>
      </c>
      <c r="M2" s="83">
        <f t="shared" si="0"/>
        <v>125</v>
      </c>
      <c r="N2" s="83">
        <f t="shared" si="0"/>
        <v>150</v>
      </c>
    </row>
    <row r="3" spans="1:14">
      <c r="A3" t="s">
        <v>161</v>
      </c>
      <c r="B3" s="83">
        <f t="shared" ref="B3:N3" si="1">-B2</f>
        <v>150</v>
      </c>
      <c r="C3" s="83">
        <f t="shared" si="1"/>
        <v>125</v>
      </c>
      <c r="D3" s="83">
        <f t="shared" si="1"/>
        <v>100</v>
      </c>
      <c r="E3" s="83">
        <f t="shared" si="1"/>
        <v>75</v>
      </c>
      <c r="F3" s="83">
        <f t="shared" si="1"/>
        <v>50</v>
      </c>
      <c r="G3" s="83">
        <f t="shared" si="1"/>
        <v>25</v>
      </c>
      <c r="H3" s="83">
        <f t="shared" si="1"/>
        <v>0</v>
      </c>
      <c r="I3" s="83">
        <f t="shared" si="1"/>
        <v>-25</v>
      </c>
      <c r="J3" s="83">
        <f t="shared" si="1"/>
        <v>-50</v>
      </c>
      <c r="K3" s="83">
        <f t="shared" si="1"/>
        <v>-75</v>
      </c>
      <c r="L3" s="83">
        <f t="shared" si="1"/>
        <v>-100</v>
      </c>
      <c r="M3" s="83">
        <f t="shared" si="1"/>
        <v>-125</v>
      </c>
      <c r="N3" s="83">
        <f t="shared" si="1"/>
        <v>-150</v>
      </c>
    </row>
    <row r="4" spans="1:14">
      <c r="A4" t="s">
        <v>159</v>
      </c>
      <c r="B4" s="83">
        <f t="shared" ref="B4:N4" si="2">IF(B2&gt;0,B2-$B$7,-$B$7)</f>
        <v>-10</v>
      </c>
      <c r="C4" s="83">
        <f t="shared" si="2"/>
        <v>-10</v>
      </c>
      <c r="D4" s="83">
        <f t="shared" si="2"/>
        <v>-10</v>
      </c>
      <c r="E4" s="83">
        <f t="shared" si="2"/>
        <v>-10</v>
      </c>
      <c r="F4" s="83">
        <f t="shared" si="2"/>
        <v>-10</v>
      </c>
      <c r="G4" s="83">
        <f t="shared" si="2"/>
        <v>-10</v>
      </c>
      <c r="H4" s="83">
        <f t="shared" si="2"/>
        <v>-10</v>
      </c>
      <c r="I4" s="83">
        <f t="shared" si="2"/>
        <v>15</v>
      </c>
      <c r="J4" s="83">
        <f t="shared" si="2"/>
        <v>40</v>
      </c>
      <c r="K4" s="83">
        <f t="shared" si="2"/>
        <v>65</v>
      </c>
      <c r="L4" s="83">
        <f t="shared" si="2"/>
        <v>90</v>
      </c>
      <c r="M4" s="83">
        <f t="shared" si="2"/>
        <v>115</v>
      </c>
      <c r="N4" s="83">
        <f t="shared" si="2"/>
        <v>140</v>
      </c>
    </row>
    <row r="5" spans="1:14">
      <c r="A5" t="s">
        <v>148</v>
      </c>
      <c r="B5" s="83">
        <f t="shared" ref="B5:N5" si="3">B3+B4</f>
        <v>140</v>
      </c>
      <c r="C5" s="83">
        <f t="shared" si="3"/>
        <v>115</v>
      </c>
      <c r="D5" s="83">
        <f t="shared" si="3"/>
        <v>90</v>
      </c>
      <c r="E5" s="83">
        <f t="shared" si="3"/>
        <v>65</v>
      </c>
      <c r="F5" s="83">
        <f t="shared" si="3"/>
        <v>40</v>
      </c>
      <c r="G5" s="83">
        <f t="shared" si="3"/>
        <v>15</v>
      </c>
      <c r="H5" s="83">
        <f t="shared" si="3"/>
        <v>-10</v>
      </c>
      <c r="I5" s="83">
        <f t="shared" si="3"/>
        <v>-10</v>
      </c>
      <c r="J5" s="83">
        <f t="shared" si="3"/>
        <v>-10</v>
      </c>
      <c r="K5" s="83">
        <f t="shared" si="3"/>
        <v>-10</v>
      </c>
      <c r="L5" s="83">
        <f t="shared" si="3"/>
        <v>-10</v>
      </c>
      <c r="M5" s="83">
        <f t="shared" si="3"/>
        <v>-10</v>
      </c>
      <c r="N5" s="83">
        <f t="shared" si="3"/>
        <v>-10</v>
      </c>
    </row>
    <row r="6" spans="1:14">
      <c r="A6" t="s">
        <v>178</v>
      </c>
      <c r="B6" s="83">
        <v>150</v>
      </c>
      <c r="C6" s="83" t="s">
        <v>553</v>
      </c>
      <c r="D6" s="83" t="s">
        <v>553</v>
      </c>
      <c r="E6" s="83" t="str">
        <f t="shared" ref="E6:N6" si="4">D6</f>
        <v xml:space="preserve"> </v>
      </c>
      <c r="F6" s="83" t="str">
        <f t="shared" si="4"/>
        <v xml:space="preserve"> </v>
      </c>
      <c r="G6" s="83" t="str">
        <f t="shared" si="4"/>
        <v xml:space="preserve"> </v>
      </c>
      <c r="H6" s="83" t="str">
        <f t="shared" si="4"/>
        <v xml:space="preserve"> </v>
      </c>
      <c r="I6" s="83" t="str">
        <f t="shared" si="4"/>
        <v xml:space="preserve"> </v>
      </c>
      <c r="J6" s="83" t="str">
        <f t="shared" si="4"/>
        <v xml:space="preserve"> </v>
      </c>
      <c r="K6" s="83" t="str">
        <f t="shared" si="4"/>
        <v xml:space="preserve"> </v>
      </c>
      <c r="L6" s="83" t="str">
        <f t="shared" si="4"/>
        <v xml:space="preserve"> </v>
      </c>
      <c r="M6" s="83" t="str">
        <f t="shared" si="4"/>
        <v xml:space="preserve"> </v>
      </c>
      <c r="N6" s="83" t="str">
        <f t="shared" si="4"/>
        <v xml:space="preserve"> </v>
      </c>
    </row>
    <row r="7" spans="1:14">
      <c r="A7" t="s">
        <v>147</v>
      </c>
      <c r="B7" s="83">
        <f>B32</f>
        <v>10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</row>
    <row r="8" spans="1:14" ht="22.5">
      <c r="A8" s="84" t="s">
        <v>181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</row>
    <row r="9" spans="1:14">
      <c r="A9" s="81" t="s">
        <v>162</v>
      </c>
    </row>
    <row r="10" spans="1:14">
      <c r="A10" t="str">
        <f>A4</f>
        <v>BUY REAL CALL INTRINSIC</v>
      </c>
      <c r="B10" t="s">
        <v>163</v>
      </c>
    </row>
    <row r="11" spans="1:14">
      <c r="A11" t="s">
        <v>148</v>
      </c>
      <c r="B11" t="s">
        <v>164</v>
      </c>
    </row>
    <row r="12" spans="1:14">
      <c r="A12" s="81"/>
    </row>
    <row r="32" spans="1:2">
      <c r="A32" t="s">
        <v>147</v>
      </c>
      <c r="B32">
        <v>10</v>
      </c>
    </row>
  </sheetData>
  <phoneticPr fontId="8" type="noConversion"/>
  <printOptions headings="1"/>
  <pageMargins left="0.75" right="0.75" top="1" bottom="1" header="0.5" footer="0.5"/>
  <pageSetup paperSize="9" scale="8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32"/>
  <sheetViews>
    <sheetView topLeftCell="A12" workbookViewId="0">
      <selection activeCell="J29" sqref="J29"/>
    </sheetView>
  </sheetViews>
  <sheetFormatPr defaultRowHeight="12.75"/>
  <cols>
    <col min="1" max="1" width="27.28515625" bestFit="1" customWidth="1"/>
    <col min="2" max="14" width="5.7109375" customWidth="1"/>
  </cols>
  <sheetData>
    <row r="1" spans="1:14" ht="18">
      <c r="A1" s="66" t="s">
        <v>146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>
      <c r="A2" t="s">
        <v>149</v>
      </c>
      <c r="B2">
        <f>0-$B$5</f>
        <v>-150</v>
      </c>
      <c r="C2">
        <f>B2+25</f>
        <v>-125</v>
      </c>
      <c r="D2">
        <f t="shared" ref="D2:N2" si="0">C2+25</f>
        <v>-100</v>
      </c>
      <c r="E2">
        <f t="shared" si="0"/>
        <v>-75</v>
      </c>
      <c r="F2">
        <f t="shared" si="0"/>
        <v>-50</v>
      </c>
      <c r="G2">
        <f t="shared" si="0"/>
        <v>-25</v>
      </c>
      <c r="H2">
        <f t="shared" si="0"/>
        <v>0</v>
      </c>
      <c r="I2">
        <f t="shared" si="0"/>
        <v>25</v>
      </c>
      <c r="J2">
        <f t="shared" si="0"/>
        <v>50</v>
      </c>
      <c r="K2">
        <f t="shared" si="0"/>
        <v>75</v>
      </c>
      <c r="L2">
        <f t="shared" si="0"/>
        <v>100</v>
      </c>
      <c r="M2">
        <f t="shared" si="0"/>
        <v>125</v>
      </c>
      <c r="N2">
        <f t="shared" si="0"/>
        <v>150</v>
      </c>
    </row>
    <row r="3" spans="1:14">
      <c r="A3" t="s">
        <v>153</v>
      </c>
      <c r="B3">
        <f>IF(B2&lt;0,-B2-$B$6,-$B$6)</f>
        <v>140</v>
      </c>
      <c r="C3">
        <f t="shared" ref="C3:N3" si="1">IF(C2&lt;0,-C2-$B$6,-$B$6)</f>
        <v>115</v>
      </c>
      <c r="D3">
        <f t="shared" si="1"/>
        <v>90</v>
      </c>
      <c r="E3">
        <f t="shared" si="1"/>
        <v>65</v>
      </c>
      <c r="F3">
        <f t="shared" si="1"/>
        <v>40</v>
      </c>
      <c r="G3">
        <f t="shared" si="1"/>
        <v>15</v>
      </c>
      <c r="H3">
        <f t="shared" si="1"/>
        <v>-10</v>
      </c>
      <c r="I3">
        <f t="shared" si="1"/>
        <v>-10</v>
      </c>
      <c r="J3">
        <f t="shared" si="1"/>
        <v>-10</v>
      </c>
      <c r="K3">
        <f t="shared" si="1"/>
        <v>-10</v>
      </c>
      <c r="L3">
        <f t="shared" si="1"/>
        <v>-10</v>
      </c>
      <c r="M3">
        <f t="shared" si="1"/>
        <v>-10</v>
      </c>
      <c r="N3">
        <f t="shared" si="1"/>
        <v>-10</v>
      </c>
    </row>
    <row r="4" spans="1:14">
      <c r="A4" t="s">
        <v>148</v>
      </c>
      <c r="B4">
        <f>B3+B2</f>
        <v>-10</v>
      </c>
      <c r="C4">
        <f t="shared" ref="C4:N4" si="2">C3+C2</f>
        <v>-10</v>
      </c>
      <c r="D4">
        <f t="shared" si="2"/>
        <v>-10</v>
      </c>
      <c r="E4">
        <f t="shared" si="2"/>
        <v>-10</v>
      </c>
      <c r="F4">
        <f t="shared" si="2"/>
        <v>-10</v>
      </c>
      <c r="G4">
        <f t="shared" si="2"/>
        <v>-10</v>
      </c>
      <c r="H4">
        <f t="shared" si="2"/>
        <v>-10</v>
      </c>
      <c r="I4">
        <f t="shared" si="2"/>
        <v>15</v>
      </c>
      <c r="J4">
        <f t="shared" si="2"/>
        <v>40</v>
      </c>
      <c r="K4">
        <f t="shared" si="2"/>
        <v>65</v>
      </c>
      <c r="L4">
        <f t="shared" si="2"/>
        <v>90</v>
      </c>
      <c r="M4">
        <f t="shared" si="2"/>
        <v>115</v>
      </c>
      <c r="N4">
        <f t="shared" si="2"/>
        <v>140</v>
      </c>
    </row>
    <row r="5" spans="1:14">
      <c r="A5" t="s">
        <v>178</v>
      </c>
      <c r="B5">
        <v>150</v>
      </c>
      <c r="C5" t="s">
        <v>553</v>
      </c>
      <c r="D5" t="s">
        <v>553</v>
      </c>
      <c r="E5" t="str">
        <f t="shared" ref="E5:N5" si="3">D5</f>
        <v xml:space="preserve"> </v>
      </c>
      <c r="F5" t="str">
        <f t="shared" si="3"/>
        <v xml:space="preserve"> </v>
      </c>
      <c r="G5" t="str">
        <f t="shared" si="3"/>
        <v xml:space="preserve"> </v>
      </c>
      <c r="H5" t="str">
        <f t="shared" si="3"/>
        <v xml:space="preserve"> </v>
      </c>
      <c r="I5" t="str">
        <f t="shared" si="3"/>
        <v xml:space="preserve"> </v>
      </c>
      <c r="J5" t="str">
        <f t="shared" si="3"/>
        <v xml:space="preserve"> </v>
      </c>
      <c r="K5" t="str">
        <f t="shared" si="3"/>
        <v xml:space="preserve"> </v>
      </c>
      <c r="L5" t="str">
        <f t="shared" si="3"/>
        <v xml:space="preserve"> </v>
      </c>
      <c r="M5" t="str">
        <f t="shared" si="3"/>
        <v xml:space="preserve"> </v>
      </c>
      <c r="N5" t="str">
        <f t="shared" si="3"/>
        <v xml:space="preserve"> </v>
      </c>
    </row>
    <row r="6" spans="1:14">
      <c r="A6" t="s">
        <v>147</v>
      </c>
      <c r="B6">
        <v>10</v>
      </c>
    </row>
    <row r="7" spans="1:14">
      <c r="A7" s="79" t="s">
        <v>182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>
      <c r="A8" s="81" t="s">
        <v>154</v>
      </c>
    </row>
    <row r="9" spans="1:14">
      <c r="A9" t="str">
        <f>A3</f>
        <v>BUY REAL PUT INTRINSIC</v>
      </c>
      <c r="B9" t="s">
        <v>158</v>
      </c>
    </row>
    <row r="10" spans="1:14">
      <c r="A10" t="str">
        <f>A4</f>
        <v>STRATEGY RESULT</v>
      </c>
      <c r="B10" t="s">
        <v>152</v>
      </c>
    </row>
    <row r="32" spans="1:2">
      <c r="A32" t="s">
        <v>147</v>
      </c>
      <c r="B32">
        <v>25</v>
      </c>
    </row>
  </sheetData>
  <phoneticPr fontId="8" type="noConversion"/>
  <printOptions horizontalCentered="1" headings="1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32"/>
  <sheetViews>
    <sheetView topLeftCell="A16" workbookViewId="0">
      <selection activeCell="B33" sqref="B33"/>
    </sheetView>
  </sheetViews>
  <sheetFormatPr defaultRowHeight="12.75"/>
  <cols>
    <col min="1" max="1" width="27.28515625" bestFit="1" customWidth="1"/>
    <col min="2" max="14" width="5.7109375" customWidth="1"/>
  </cols>
  <sheetData>
    <row r="1" spans="1:14" ht="18">
      <c r="A1" s="66" t="s">
        <v>146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>
      <c r="A2" t="s">
        <v>160</v>
      </c>
      <c r="B2">
        <f>0-$B$6</f>
        <v>-150</v>
      </c>
      <c r="C2">
        <f>B2+25</f>
        <v>-125</v>
      </c>
      <c r="D2">
        <f t="shared" ref="D2:N2" si="0">C2+25</f>
        <v>-100</v>
      </c>
      <c r="E2">
        <f t="shared" si="0"/>
        <v>-75</v>
      </c>
      <c r="F2">
        <f t="shared" si="0"/>
        <v>-50</v>
      </c>
      <c r="G2">
        <f t="shared" si="0"/>
        <v>-25</v>
      </c>
      <c r="H2">
        <f t="shared" si="0"/>
        <v>0</v>
      </c>
      <c r="I2">
        <f t="shared" si="0"/>
        <v>25</v>
      </c>
      <c r="J2">
        <f t="shared" si="0"/>
        <v>50</v>
      </c>
      <c r="K2">
        <f t="shared" si="0"/>
        <v>75</v>
      </c>
      <c r="L2">
        <f t="shared" si="0"/>
        <v>100</v>
      </c>
      <c r="M2">
        <f t="shared" si="0"/>
        <v>125</v>
      </c>
      <c r="N2">
        <f t="shared" si="0"/>
        <v>150</v>
      </c>
    </row>
    <row r="3" spans="1:14">
      <c r="A3" t="s">
        <v>161</v>
      </c>
      <c r="B3">
        <f>-B2</f>
        <v>150</v>
      </c>
      <c r="C3">
        <f t="shared" ref="C3:N3" si="1">-C2</f>
        <v>125</v>
      </c>
      <c r="D3">
        <f t="shared" si="1"/>
        <v>100</v>
      </c>
      <c r="E3">
        <f t="shared" si="1"/>
        <v>75</v>
      </c>
      <c r="F3">
        <f t="shared" si="1"/>
        <v>50</v>
      </c>
      <c r="G3">
        <f t="shared" si="1"/>
        <v>25</v>
      </c>
      <c r="H3">
        <f t="shared" si="1"/>
        <v>0</v>
      </c>
      <c r="I3">
        <f t="shared" si="1"/>
        <v>-25</v>
      </c>
      <c r="J3">
        <f t="shared" si="1"/>
        <v>-50</v>
      </c>
      <c r="K3">
        <f t="shared" si="1"/>
        <v>-75</v>
      </c>
      <c r="L3">
        <f t="shared" si="1"/>
        <v>-100</v>
      </c>
      <c r="M3">
        <f t="shared" si="1"/>
        <v>-125</v>
      </c>
      <c r="N3">
        <f t="shared" si="1"/>
        <v>-150</v>
      </c>
    </row>
    <row r="4" spans="1:14">
      <c r="A4" t="s">
        <v>165</v>
      </c>
      <c r="B4">
        <f>IF(B2&lt;0,B2+$B$7,$B$7)</f>
        <v>-125</v>
      </c>
      <c r="C4">
        <f t="shared" ref="C4:N4" si="2">IF(C2&lt;0,C2+$B$7,$B$7)</f>
        <v>-100</v>
      </c>
      <c r="D4">
        <f t="shared" si="2"/>
        <v>-75</v>
      </c>
      <c r="E4">
        <f t="shared" si="2"/>
        <v>-50</v>
      </c>
      <c r="F4">
        <f t="shared" si="2"/>
        <v>-25</v>
      </c>
      <c r="G4">
        <f t="shared" si="2"/>
        <v>0</v>
      </c>
      <c r="H4">
        <f t="shared" si="2"/>
        <v>25</v>
      </c>
      <c r="I4">
        <f t="shared" si="2"/>
        <v>25</v>
      </c>
      <c r="J4">
        <f t="shared" si="2"/>
        <v>25</v>
      </c>
      <c r="K4">
        <f t="shared" si="2"/>
        <v>25</v>
      </c>
      <c r="L4">
        <f t="shared" si="2"/>
        <v>25</v>
      </c>
      <c r="M4">
        <f t="shared" si="2"/>
        <v>25</v>
      </c>
      <c r="N4">
        <f t="shared" si="2"/>
        <v>25</v>
      </c>
    </row>
    <row r="5" spans="1:14">
      <c r="A5" t="s">
        <v>148</v>
      </c>
      <c r="B5">
        <f>B3+B4</f>
        <v>25</v>
      </c>
      <c r="C5">
        <f t="shared" ref="C5:N5" si="3">C3+C4</f>
        <v>25</v>
      </c>
      <c r="D5">
        <f t="shared" si="3"/>
        <v>25</v>
      </c>
      <c r="E5">
        <f t="shared" si="3"/>
        <v>25</v>
      </c>
      <c r="F5">
        <f t="shared" si="3"/>
        <v>25</v>
      </c>
      <c r="G5">
        <f t="shared" si="3"/>
        <v>25</v>
      </c>
      <c r="H5">
        <f t="shared" si="3"/>
        <v>25</v>
      </c>
      <c r="I5">
        <f t="shared" si="3"/>
        <v>0</v>
      </c>
      <c r="J5">
        <f t="shared" si="3"/>
        <v>-25</v>
      </c>
      <c r="K5">
        <f t="shared" si="3"/>
        <v>-50</v>
      </c>
      <c r="L5">
        <f t="shared" si="3"/>
        <v>-75</v>
      </c>
      <c r="M5">
        <f t="shared" si="3"/>
        <v>-100</v>
      </c>
      <c r="N5">
        <f t="shared" si="3"/>
        <v>-125</v>
      </c>
    </row>
    <row r="6" spans="1:14">
      <c r="A6" t="s">
        <v>178</v>
      </c>
      <c r="B6">
        <v>150</v>
      </c>
      <c r="C6" t="s">
        <v>553</v>
      </c>
      <c r="D6" t="s">
        <v>553</v>
      </c>
      <c r="E6" t="str">
        <f t="shared" ref="E6:N6" si="4">D6</f>
        <v xml:space="preserve"> </v>
      </c>
      <c r="F6" t="str">
        <f t="shared" si="4"/>
        <v xml:space="preserve"> </v>
      </c>
      <c r="G6" t="str">
        <f t="shared" si="4"/>
        <v xml:space="preserve"> </v>
      </c>
      <c r="H6" t="str">
        <f t="shared" si="4"/>
        <v xml:space="preserve"> </v>
      </c>
      <c r="I6" t="str">
        <f t="shared" si="4"/>
        <v xml:space="preserve"> </v>
      </c>
      <c r="J6" t="str">
        <f t="shared" si="4"/>
        <v xml:space="preserve"> </v>
      </c>
      <c r="K6" t="str">
        <f t="shared" si="4"/>
        <v xml:space="preserve"> </v>
      </c>
      <c r="L6" t="str">
        <f t="shared" si="4"/>
        <v xml:space="preserve"> </v>
      </c>
      <c r="M6" t="str">
        <f t="shared" si="4"/>
        <v xml:space="preserve"> </v>
      </c>
      <c r="N6" t="str">
        <f t="shared" si="4"/>
        <v xml:space="preserve"> </v>
      </c>
    </row>
    <row r="7" spans="1:14">
      <c r="A7" t="s">
        <v>147</v>
      </c>
      <c r="B7">
        <f>B32</f>
        <v>25</v>
      </c>
    </row>
    <row r="8" spans="1:14" ht="22.5">
      <c r="A8" s="84" t="s">
        <v>183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</row>
    <row r="9" spans="1:14">
      <c r="A9" s="81" t="s">
        <v>167</v>
      </c>
    </row>
    <row r="10" spans="1:14">
      <c r="A10" t="str">
        <f>A4</f>
        <v>WRITE REAL PUT INTRINSIC</v>
      </c>
      <c r="B10" t="s">
        <v>166</v>
      </c>
    </row>
    <row r="11" spans="1:14">
      <c r="A11" t="s">
        <v>148</v>
      </c>
      <c r="B11" t="s">
        <v>164</v>
      </c>
    </row>
    <row r="32" spans="1:2">
      <c r="A32" t="s">
        <v>147</v>
      </c>
      <c r="B32">
        <v>25</v>
      </c>
    </row>
  </sheetData>
  <phoneticPr fontId="8" type="noConversion"/>
  <printOptions headings="1"/>
  <pageMargins left="0.75" right="0.75" top="1" bottom="1" header="0.5" footer="0.5"/>
  <pageSetup paperSize="9" scale="80" orientation="portrait" horizontalDpi="0" verticalDpi="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sqref="A1:N39"/>
    </sheetView>
  </sheetViews>
  <sheetFormatPr defaultRowHeight="12.75"/>
  <cols>
    <col min="1" max="1" width="33.42578125" bestFit="1" customWidth="1"/>
    <col min="2" max="6" width="6.140625" customWidth="1"/>
    <col min="7" max="7" width="5.140625" customWidth="1"/>
    <col min="8" max="8" width="5.5703125" customWidth="1"/>
    <col min="9" max="12" width="6.140625" customWidth="1"/>
  </cols>
  <sheetData>
    <row r="1" spans="1:14" ht="18">
      <c r="A1" s="66" t="s">
        <v>146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4">
      <c r="A2" t="s">
        <v>149</v>
      </c>
      <c r="B2" s="83">
        <v>-150</v>
      </c>
      <c r="C2" s="83">
        <f>B2+25</f>
        <v>-125</v>
      </c>
      <c r="D2" s="83">
        <f t="shared" ref="D2:L2" si="0">C2+25</f>
        <v>-100</v>
      </c>
      <c r="E2" s="83">
        <f t="shared" si="0"/>
        <v>-75</v>
      </c>
      <c r="F2" s="83">
        <f t="shared" si="0"/>
        <v>-50</v>
      </c>
      <c r="G2" s="83">
        <f t="shared" si="0"/>
        <v>-25</v>
      </c>
      <c r="H2" s="83">
        <f t="shared" si="0"/>
        <v>0</v>
      </c>
      <c r="I2" s="83">
        <f t="shared" si="0"/>
        <v>25</v>
      </c>
      <c r="J2" s="83">
        <f t="shared" si="0"/>
        <v>50</v>
      </c>
      <c r="K2" s="83">
        <f t="shared" si="0"/>
        <v>75</v>
      </c>
      <c r="L2" s="83">
        <f t="shared" si="0"/>
        <v>100</v>
      </c>
      <c r="M2" s="83">
        <f>L2+25</f>
        <v>125</v>
      </c>
      <c r="N2" s="83">
        <f>M2+25</f>
        <v>150</v>
      </c>
    </row>
    <row r="3" spans="1:14">
      <c r="A3" t="s">
        <v>184</v>
      </c>
      <c r="B3" s="83">
        <f>IF(B2&gt;$B$6,$B$6-B2+$B$9,$B$9)</f>
        <v>25</v>
      </c>
      <c r="C3" s="83">
        <f t="shared" ref="C3:L3" si="1">IF(C2&gt;$B$6,$B$6-C2+$B$9,$B$9)</f>
        <v>25</v>
      </c>
      <c r="D3" s="83">
        <f t="shared" si="1"/>
        <v>25</v>
      </c>
      <c r="E3" s="83">
        <f t="shared" si="1"/>
        <v>25</v>
      </c>
      <c r="F3" s="83">
        <f t="shared" si="1"/>
        <v>25</v>
      </c>
      <c r="G3" s="83">
        <f t="shared" si="1"/>
        <v>25</v>
      </c>
      <c r="H3" s="83">
        <f t="shared" si="1"/>
        <v>25</v>
      </c>
      <c r="I3" s="83">
        <f t="shared" si="1"/>
        <v>25</v>
      </c>
      <c r="J3" s="83">
        <f t="shared" si="1"/>
        <v>0</v>
      </c>
      <c r="K3" s="83">
        <f t="shared" si="1"/>
        <v>-25</v>
      </c>
      <c r="L3" s="83">
        <f t="shared" si="1"/>
        <v>-50</v>
      </c>
      <c r="M3" s="83">
        <f>IF(M2&gt;$B$6,$B$6-M2+$B$9,$B$9)</f>
        <v>-75</v>
      </c>
      <c r="N3" s="83">
        <f>IF(N2&gt;$B$6,$B$6-N2+$B$9,$B$9)</f>
        <v>-100</v>
      </c>
    </row>
    <row r="4" spans="1:14">
      <c r="A4" t="s">
        <v>185</v>
      </c>
      <c r="B4" s="83">
        <f>IF(B2&lt;$B$7,-B2-$B$7-$B$10,-$B$10)</f>
        <v>140</v>
      </c>
      <c r="C4" s="83">
        <f t="shared" ref="C4:L4" si="2">IF(C2&lt;$B$7,-C2-$B$7-$B$10,-$B$10)</f>
        <v>115</v>
      </c>
      <c r="D4" s="83">
        <f t="shared" si="2"/>
        <v>90</v>
      </c>
      <c r="E4" s="83">
        <f t="shared" si="2"/>
        <v>65</v>
      </c>
      <c r="F4" s="83">
        <f t="shared" si="2"/>
        <v>40</v>
      </c>
      <c r="G4" s="83">
        <f t="shared" si="2"/>
        <v>15</v>
      </c>
      <c r="H4" s="83">
        <f t="shared" si="2"/>
        <v>-10</v>
      </c>
      <c r="I4" s="83">
        <f t="shared" si="2"/>
        <v>-10</v>
      </c>
      <c r="J4" s="83">
        <f t="shared" si="2"/>
        <v>-10</v>
      </c>
      <c r="K4" s="83">
        <f t="shared" si="2"/>
        <v>-10</v>
      </c>
      <c r="L4" s="83">
        <f t="shared" si="2"/>
        <v>-10</v>
      </c>
      <c r="M4" s="83">
        <f>IF(M2&lt;$B$7,-M2-$B$7-$B$10,-$B$10)</f>
        <v>-10</v>
      </c>
      <c r="N4" s="83">
        <f>IF(N2&lt;$B$7,-N2-$B$7-$B$10,-$B$10)</f>
        <v>-10</v>
      </c>
    </row>
    <row r="5" spans="1:14">
      <c r="A5" t="s">
        <v>148</v>
      </c>
      <c r="B5" s="83">
        <f>B2+B3+B4</f>
        <v>15</v>
      </c>
      <c r="C5" s="83">
        <f t="shared" ref="C5:L5" si="3">C2+C3+C4</f>
        <v>15</v>
      </c>
      <c r="D5" s="83">
        <f t="shared" si="3"/>
        <v>15</v>
      </c>
      <c r="E5" s="83">
        <f t="shared" si="3"/>
        <v>15</v>
      </c>
      <c r="F5" s="83">
        <f t="shared" si="3"/>
        <v>15</v>
      </c>
      <c r="G5" s="83">
        <f t="shared" si="3"/>
        <v>15</v>
      </c>
      <c r="H5" s="83">
        <f t="shared" si="3"/>
        <v>15</v>
      </c>
      <c r="I5" s="83">
        <f t="shared" si="3"/>
        <v>40</v>
      </c>
      <c r="J5" s="83">
        <f t="shared" si="3"/>
        <v>40</v>
      </c>
      <c r="K5" s="83">
        <f t="shared" si="3"/>
        <v>40</v>
      </c>
      <c r="L5" s="83">
        <f t="shared" si="3"/>
        <v>40</v>
      </c>
      <c r="M5" s="83">
        <f>M2+M3+M4</f>
        <v>40</v>
      </c>
      <c r="N5" s="83">
        <f>N2+N3+N4</f>
        <v>40</v>
      </c>
    </row>
    <row r="6" spans="1:14">
      <c r="A6" t="s">
        <v>186</v>
      </c>
      <c r="B6" s="83">
        <f>B40</f>
        <v>25</v>
      </c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4">
      <c r="A7" t="s">
        <v>187</v>
      </c>
      <c r="B7" s="83">
        <f>B41</f>
        <v>0</v>
      </c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1:14">
      <c r="A8" t="s">
        <v>178</v>
      </c>
      <c r="B8" s="83">
        <v>150</v>
      </c>
      <c r="C8" s="83" t="s">
        <v>553</v>
      </c>
      <c r="D8" s="83" t="s">
        <v>553</v>
      </c>
      <c r="E8" s="83" t="str">
        <f t="shared" ref="E8:L8" si="4">D8</f>
        <v xml:space="preserve"> </v>
      </c>
      <c r="F8" s="83" t="str">
        <f t="shared" si="4"/>
        <v xml:space="preserve"> </v>
      </c>
      <c r="G8" s="83" t="str">
        <f t="shared" si="4"/>
        <v xml:space="preserve"> </v>
      </c>
      <c r="H8" s="83" t="str">
        <f t="shared" si="4"/>
        <v xml:space="preserve"> </v>
      </c>
      <c r="I8" s="83" t="str">
        <f t="shared" si="4"/>
        <v xml:space="preserve"> </v>
      </c>
      <c r="J8" s="83" t="str">
        <f t="shared" si="4"/>
        <v xml:space="preserve"> </v>
      </c>
      <c r="K8" s="83" t="str">
        <f t="shared" si="4"/>
        <v xml:space="preserve"> </v>
      </c>
      <c r="L8" s="83" t="str">
        <f t="shared" si="4"/>
        <v xml:space="preserve"> </v>
      </c>
    </row>
    <row r="9" spans="1:14">
      <c r="A9" t="s">
        <v>168</v>
      </c>
      <c r="B9" s="83">
        <f>B42</f>
        <v>25</v>
      </c>
      <c r="C9" s="83"/>
      <c r="D9" s="83"/>
      <c r="E9" s="83"/>
      <c r="F9" s="83"/>
      <c r="G9" s="83"/>
      <c r="H9" s="83"/>
      <c r="I9" s="83"/>
      <c r="J9" s="83"/>
      <c r="K9" s="83"/>
      <c r="L9" s="83"/>
    </row>
    <row r="10" spans="1:14">
      <c r="A10" t="s">
        <v>169</v>
      </c>
      <c r="B10" s="83">
        <f>B43</f>
        <v>10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</row>
    <row r="11" spans="1:14">
      <c r="A11" s="79" t="s">
        <v>188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</row>
    <row r="12" spans="1:14">
      <c r="A12" s="81" t="s">
        <v>170</v>
      </c>
    </row>
    <row r="13" spans="1:14">
      <c r="A13" t="str">
        <f>A3</f>
        <v xml:space="preserve">WRITE REAL CALL AT K2 INTRINSIC </v>
      </c>
      <c r="B13" t="s">
        <v>171</v>
      </c>
    </row>
    <row r="14" spans="1:14">
      <c r="A14" t="str">
        <f>A4</f>
        <v>BUY REAL PUT AT K1 INTRINSIC</v>
      </c>
      <c r="B14" t="s">
        <v>172</v>
      </c>
    </row>
    <row r="15" spans="1:14">
      <c r="A15" t="s">
        <v>148</v>
      </c>
      <c r="B15" t="s">
        <v>173</v>
      </c>
    </row>
    <row r="40" spans="1:2">
      <c r="A40" t="s">
        <v>186</v>
      </c>
      <c r="B40">
        <v>25</v>
      </c>
    </row>
    <row r="41" spans="1:2">
      <c r="A41" t="s">
        <v>187</v>
      </c>
      <c r="B41">
        <v>0</v>
      </c>
    </row>
    <row r="42" spans="1:2">
      <c r="A42" t="s">
        <v>168</v>
      </c>
      <c r="B42">
        <v>25</v>
      </c>
    </row>
    <row r="43" spans="1:2">
      <c r="A43" t="s">
        <v>169</v>
      </c>
      <c r="B43">
        <v>10</v>
      </c>
    </row>
  </sheetData>
  <phoneticPr fontId="8" type="noConversion"/>
  <printOptions headings="1"/>
  <pageMargins left="0.54" right="0.12" top="1" bottom="1" header="0.5" footer="0.5"/>
  <pageSetup paperSize="9" scale="80" orientation="portrait" horizontalDpi="0" verticalDpi="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10"/>
  <sheetViews>
    <sheetView topLeftCell="A16" workbookViewId="0">
      <selection activeCell="A35" sqref="A35"/>
    </sheetView>
  </sheetViews>
  <sheetFormatPr defaultRowHeight="12.75"/>
  <cols>
    <col min="1" max="1" width="27.28515625" bestFit="1" customWidth="1"/>
    <col min="2" max="14" width="5.7109375" customWidth="1"/>
  </cols>
  <sheetData>
    <row r="1" spans="1:14" ht="18">
      <c r="A1" s="66" t="s">
        <v>146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>
      <c r="A2" t="s">
        <v>160</v>
      </c>
      <c r="B2">
        <f>0-$B$5</f>
        <v>-150</v>
      </c>
      <c r="C2">
        <f>B2+25</f>
        <v>-125</v>
      </c>
      <c r="D2">
        <f t="shared" ref="D2:N2" si="0">C2+25</f>
        <v>-100</v>
      </c>
      <c r="E2">
        <f t="shared" si="0"/>
        <v>-75</v>
      </c>
      <c r="F2">
        <f t="shared" si="0"/>
        <v>-50</v>
      </c>
      <c r="G2">
        <f t="shared" si="0"/>
        <v>-25</v>
      </c>
      <c r="H2">
        <f t="shared" si="0"/>
        <v>0</v>
      </c>
      <c r="I2">
        <f t="shared" si="0"/>
        <v>25</v>
      </c>
      <c r="J2">
        <f t="shared" si="0"/>
        <v>50</v>
      </c>
      <c r="K2">
        <f t="shared" si="0"/>
        <v>75</v>
      </c>
      <c r="L2">
        <f t="shared" si="0"/>
        <v>100</v>
      </c>
      <c r="M2">
        <f t="shared" si="0"/>
        <v>125</v>
      </c>
      <c r="N2">
        <f t="shared" si="0"/>
        <v>150</v>
      </c>
    </row>
    <row r="3" spans="1:14">
      <c r="A3" s="35" t="s">
        <v>744</v>
      </c>
      <c r="B3">
        <f>IF(B2&gt;0,B2-$B$6,-$B$6)</f>
        <v>-15</v>
      </c>
      <c r="C3">
        <f t="shared" ref="C3:N3" si="1">IF(C2&gt;0,C2-$B$6,-$B$6)</f>
        <v>-15</v>
      </c>
      <c r="D3">
        <f t="shared" si="1"/>
        <v>-15</v>
      </c>
      <c r="E3">
        <f t="shared" si="1"/>
        <v>-15</v>
      </c>
      <c r="F3">
        <f t="shared" si="1"/>
        <v>-15</v>
      </c>
      <c r="G3">
        <f t="shared" si="1"/>
        <v>-15</v>
      </c>
      <c r="H3">
        <f t="shared" si="1"/>
        <v>-15</v>
      </c>
      <c r="I3">
        <f t="shared" si="1"/>
        <v>10</v>
      </c>
      <c r="J3">
        <f t="shared" si="1"/>
        <v>35</v>
      </c>
      <c r="K3">
        <f t="shared" si="1"/>
        <v>60</v>
      </c>
      <c r="L3">
        <f t="shared" si="1"/>
        <v>85</v>
      </c>
      <c r="M3">
        <f t="shared" si="1"/>
        <v>110</v>
      </c>
      <c r="N3">
        <f t="shared" si="1"/>
        <v>135</v>
      </c>
    </row>
    <row r="4" spans="1:14">
      <c r="A4" t="s">
        <v>148</v>
      </c>
      <c r="B4">
        <f>B2+B3</f>
        <v>-165</v>
      </c>
      <c r="C4">
        <f t="shared" ref="C4:N4" si="2">C2+C3</f>
        <v>-140</v>
      </c>
      <c r="D4">
        <f t="shared" si="2"/>
        <v>-115</v>
      </c>
      <c r="E4">
        <f t="shared" si="2"/>
        <v>-90</v>
      </c>
      <c r="F4">
        <f t="shared" si="2"/>
        <v>-65</v>
      </c>
      <c r="G4">
        <f t="shared" si="2"/>
        <v>-40</v>
      </c>
      <c r="H4">
        <f t="shared" si="2"/>
        <v>-15</v>
      </c>
      <c r="I4">
        <f t="shared" si="2"/>
        <v>35</v>
      </c>
      <c r="J4">
        <f t="shared" si="2"/>
        <v>85</v>
      </c>
      <c r="K4">
        <f t="shared" si="2"/>
        <v>135</v>
      </c>
      <c r="L4">
        <f t="shared" si="2"/>
        <v>185</v>
      </c>
      <c r="M4">
        <f t="shared" si="2"/>
        <v>235</v>
      </c>
      <c r="N4">
        <f t="shared" si="2"/>
        <v>285</v>
      </c>
    </row>
    <row r="5" spans="1:14">
      <c r="A5" t="s">
        <v>178</v>
      </c>
      <c r="B5">
        <v>150</v>
      </c>
      <c r="C5" t="s">
        <v>553</v>
      </c>
      <c r="D5" t="s">
        <v>553</v>
      </c>
      <c r="E5" t="str">
        <f t="shared" ref="E5:N5" si="3">D5</f>
        <v xml:space="preserve"> </v>
      </c>
      <c r="F5" t="str">
        <f t="shared" si="3"/>
        <v xml:space="preserve"> </v>
      </c>
      <c r="G5" t="str">
        <f t="shared" si="3"/>
        <v xml:space="preserve"> </v>
      </c>
      <c r="H5" t="str">
        <f t="shared" si="3"/>
        <v xml:space="preserve"> </v>
      </c>
      <c r="I5" t="str">
        <f t="shared" si="3"/>
        <v xml:space="preserve"> </v>
      </c>
      <c r="J5" t="str">
        <f t="shared" si="3"/>
        <v xml:space="preserve"> </v>
      </c>
      <c r="K5" t="str">
        <f t="shared" si="3"/>
        <v xml:space="preserve"> </v>
      </c>
      <c r="L5" t="str">
        <f t="shared" si="3"/>
        <v xml:space="preserve"> </v>
      </c>
      <c r="M5" t="str">
        <f t="shared" si="3"/>
        <v xml:space="preserve"> </v>
      </c>
      <c r="N5" t="str">
        <f t="shared" si="3"/>
        <v xml:space="preserve"> </v>
      </c>
    </row>
    <row r="6" spans="1:14">
      <c r="A6" t="s">
        <v>147</v>
      </c>
      <c r="B6">
        <v>15</v>
      </c>
    </row>
    <row r="7" spans="1:14" ht="20.100000000000001" customHeight="1">
      <c r="A7" s="248" t="s">
        <v>745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>
      <c r="A8" s="81" t="s">
        <v>746</v>
      </c>
    </row>
    <row r="9" spans="1:14">
      <c r="A9" t="str">
        <f>A3</f>
        <v>HOLD REAL CALL INTRINSIC</v>
      </c>
      <c r="B9" s="35" t="s">
        <v>747</v>
      </c>
    </row>
    <row r="10" spans="1:14">
      <c r="A10" t="s">
        <v>148</v>
      </c>
      <c r="B10" s="35" t="s">
        <v>152</v>
      </c>
    </row>
  </sheetData>
  <printOptions headings="1"/>
  <pageMargins left="0.7" right="0.7" top="0.75" bottom="0.75" header="0.3" footer="0.3"/>
  <pageSetup scale="9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10"/>
  <sheetViews>
    <sheetView workbookViewId="0">
      <selection sqref="A1:N36"/>
    </sheetView>
  </sheetViews>
  <sheetFormatPr defaultRowHeight="12.75"/>
  <cols>
    <col min="1" max="1" width="28.85546875" bestFit="1" customWidth="1"/>
    <col min="2" max="14" width="5.7109375" customWidth="1"/>
  </cols>
  <sheetData>
    <row r="1" spans="1:14" ht="18">
      <c r="A1" s="66" t="s">
        <v>146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>
      <c r="A2" s="35" t="s">
        <v>748</v>
      </c>
      <c r="B2">
        <f>0-$B$5</f>
        <v>-150</v>
      </c>
      <c r="C2">
        <f>B2+25</f>
        <v>-125</v>
      </c>
      <c r="D2">
        <f t="shared" ref="D2:N2" si="0">C2+25</f>
        <v>-100</v>
      </c>
      <c r="E2">
        <f t="shared" si="0"/>
        <v>-75</v>
      </c>
      <c r="F2">
        <f t="shared" si="0"/>
        <v>-50</v>
      </c>
      <c r="G2">
        <f t="shared" si="0"/>
        <v>-25</v>
      </c>
      <c r="H2">
        <f t="shared" si="0"/>
        <v>0</v>
      </c>
      <c r="I2">
        <f t="shared" si="0"/>
        <v>25</v>
      </c>
      <c r="J2">
        <f t="shared" si="0"/>
        <v>50</v>
      </c>
      <c r="K2">
        <f t="shared" si="0"/>
        <v>75</v>
      </c>
      <c r="L2">
        <f t="shared" si="0"/>
        <v>100</v>
      </c>
      <c r="M2">
        <f t="shared" si="0"/>
        <v>125</v>
      </c>
      <c r="N2">
        <f t="shared" si="0"/>
        <v>150</v>
      </c>
    </row>
    <row r="3" spans="1:14">
      <c r="A3" s="35" t="s">
        <v>749</v>
      </c>
      <c r="B3" s="35">
        <f>IF(B2&lt;0,B2+$B$6,+$B$6)</f>
        <v>-135</v>
      </c>
      <c r="C3" s="35">
        <f t="shared" ref="C3:N3" si="1">IF(C2&lt;0,C2+$B$6,+$B$6)</f>
        <v>-110</v>
      </c>
      <c r="D3" s="35">
        <f t="shared" si="1"/>
        <v>-85</v>
      </c>
      <c r="E3" s="35">
        <f t="shared" si="1"/>
        <v>-60</v>
      </c>
      <c r="F3" s="35">
        <f t="shared" si="1"/>
        <v>-35</v>
      </c>
      <c r="G3" s="35">
        <f t="shared" si="1"/>
        <v>-10</v>
      </c>
      <c r="H3" s="35">
        <f t="shared" si="1"/>
        <v>15</v>
      </c>
      <c r="I3" s="35">
        <f t="shared" si="1"/>
        <v>15</v>
      </c>
      <c r="J3" s="35">
        <f t="shared" si="1"/>
        <v>15</v>
      </c>
      <c r="K3" s="35">
        <f t="shared" si="1"/>
        <v>15</v>
      </c>
      <c r="L3" s="35">
        <f t="shared" si="1"/>
        <v>15</v>
      </c>
      <c r="M3" s="35">
        <f t="shared" si="1"/>
        <v>15</v>
      </c>
      <c r="N3" s="35">
        <f t="shared" si="1"/>
        <v>15</v>
      </c>
    </row>
    <row r="4" spans="1:14">
      <c r="A4" t="s">
        <v>148</v>
      </c>
      <c r="B4">
        <f>B2+B3</f>
        <v>-285</v>
      </c>
      <c r="C4">
        <f t="shared" ref="C4:N4" si="2">C2+C3</f>
        <v>-235</v>
      </c>
      <c r="D4">
        <f t="shared" si="2"/>
        <v>-185</v>
      </c>
      <c r="E4">
        <f t="shared" si="2"/>
        <v>-135</v>
      </c>
      <c r="F4">
        <f t="shared" si="2"/>
        <v>-85</v>
      </c>
      <c r="G4">
        <f t="shared" si="2"/>
        <v>-35</v>
      </c>
      <c r="H4">
        <f t="shared" si="2"/>
        <v>15</v>
      </c>
      <c r="I4">
        <f t="shared" si="2"/>
        <v>40</v>
      </c>
      <c r="J4">
        <f t="shared" si="2"/>
        <v>65</v>
      </c>
      <c r="K4">
        <f t="shared" si="2"/>
        <v>90</v>
      </c>
      <c r="L4">
        <f t="shared" si="2"/>
        <v>115</v>
      </c>
      <c r="M4">
        <f t="shared" si="2"/>
        <v>140</v>
      </c>
      <c r="N4">
        <f t="shared" si="2"/>
        <v>165</v>
      </c>
    </row>
    <row r="5" spans="1:14">
      <c r="A5" t="s">
        <v>178</v>
      </c>
      <c r="B5">
        <v>150</v>
      </c>
      <c r="C5" t="s">
        <v>553</v>
      </c>
      <c r="D5" t="s">
        <v>553</v>
      </c>
      <c r="E5" t="str">
        <f t="shared" ref="E5:N5" si="3">D5</f>
        <v xml:space="preserve"> </v>
      </c>
      <c r="F5" t="str">
        <f t="shared" si="3"/>
        <v xml:space="preserve"> </v>
      </c>
      <c r="G5" t="str">
        <f t="shared" si="3"/>
        <v xml:space="preserve"> </v>
      </c>
      <c r="H5" t="str">
        <f t="shared" si="3"/>
        <v xml:space="preserve"> </v>
      </c>
      <c r="I5" t="str">
        <f t="shared" si="3"/>
        <v xml:space="preserve"> </v>
      </c>
      <c r="J5" t="str">
        <f t="shared" si="3"/>
        <v xml:space="preserve"> </v>
      </c>
      <c r="K5" t="str">
        <f t="shared" si="3"/>
        <v xml:space="preserve"> </v>
      </c>
      <c r="L5" t="str">
        <f t="shared" si="3"/>
        <v xml:space="preserve"> </v>
      </c>
      <c r="M5" t="str">
        <f t="shared" si="3"/>
        <v xml:space="preserve"> </v>
      </c>
      <c r="N5" t="str">
        <f t="shared" si="3"/>
        <v xml:space="preserve"> </v>
      </c>
    </row>
    <row r="6" spans="1:14">
      <c r="A6" t="s">
        <v>147</v>
      </c>
      <c r="B6">
        <v>15</v>
      </c>
    </row>
    <row r="7" spans="1:14" ht="20.100000000000001" customHeight="1">
      <c r="A7" s="248" t="s">
        <v>751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>
      <c r="A8" s="81" t="s">
        <v>752</v>
      </c>
    </row>
    <row r="9" spans="1:14">
      <c r="A9" t="str">
        <f>A3</f>
        <v>RENOVATION REQUIREMENT</v>
      </c>
      <c r="B9" s="35" t="s">
        <v>750</v>
      </c>
    </row>
    <row r="10" spans="1:14">
      <c r="A10" t="s">
        <v>148</v>
      </c>
      <c r="B10" s="35" t="s">
        <v>152</v>
      </c>
    </row>
  </sheetData>
  <printOptions headings="1"/>
  <pageMargins left="0.7" right="0.7" top="0.75" bottom="0.75" header="0.3" footer="0.3"/>
  <pageSetup scale="95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Z43"/>
  <sheetViews>
    <sheetView topLeftCell="A31" workbookViewId="0">
      <selection activeCell="B44" sqref="B44"/>
    </sheetView>
  </sheetViews>
  <sheetFormatPr defaultRowHeight="12.75"/>
  <cols>
    <col min="1" max="1" width="18.42578125" bestFit="1" customWidth="1"/>
    <col min="2" max="2" width="5.85546875" customWidth="1"/>
    <col min="3" max="6" width="4.140625" customWidth="1"/>
    <col min="7" max="26" width="4.85546875" customWidth="1"/>
  </cols>
  <sheetData>
    <row r="1" spans="1:26" ht="15">
      <c r="A1" s="40" t="s">
        <v>24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6" ht="15">
      <c r="A2" s="40" t="s">
        <v>142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</row>
    <row r="3" spans="1:26" ht="15">
      <c r="A3" s="40" t="s">
        <v>25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4" spans="1:26">
      <c r="A4" t="s">
        <v>28</v>
      </c>
      <c r="B4" s="85">
        <v>34000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>
      <c r="A5" t="s">
        <v>22</v>
      </c>
      <c r="B5" s="85">
        <v>48000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26">
      <c r="A6" t="s">
        <v>30</v>
      </c>
      <c r="B6" s="85">
        <v>20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</row>
    <row r="7" spans="1:26">
      <c r="A7" t="s">
        <v>31</v>
      </c>
      <c r="B7" s="85">
        <f>B43</f>
        <v>2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</row>
    <row r="8" spans="1:26">
      <c r="A8" t="s">
        <v>653</v>
      </c>
      <c r="B8" s="85">
        <v>0.6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</row>
    <row r="9" spans="1:26">
      <c r="A9" t="s">
        <v>23</v>
      </c>
      <c r="B9" s="85">
        <v>0</v>
      </c>
      <c r="C9" s="218">
        <f>B9+2000</f>
        <v>2000</v>
      </c>
      <c r="D9" s="218">
        <f t="shared" ref="D9:Z9" si="0">C9+2000</f>
        <v>4000</v>
      </c>
      <c r="E9" s="218">
        <f t="shared" si="0"/>
        <v>6000</v>
      </c>
      <c r="F9" s="218">
        <f t="shared" si="0"/>
        <v>8000</v>
      </c>
      <c r="G9" s="218">
        <f t="shared" si="0"/>
        <v>10000</v>
      </c>
      <c r="H9" s="218">
        <f t="shared" si="0"/>
        <v>12000</v>
      </c>
      <c r="I9" s="218">
        <f t="shared" si="0"/>
        <v>14000</v>
      </c>
      <c r="J9" s="218">
        <f t="shared" si="0"/>
        <v>16000</v>
      </c>
      <c r="K9" s="218">
        <f t="shared" si="0"/>
        <v>18000</v>
      </c>
      <c r="L9" s="218">
        <f t="shared" si="0"/>
        <v>20000</v>
      </c>
      <c r="M9" s="218">
        <f t="shared" si="0"/>
        <v>22000</v>
      </c>
      <c r="N9" s="218">
        <f t="shared" si="0"/>
        <v>24000</v>
      </c>
      <c r="O9" s="218">
        <f t="shared" si="0"/>
        <v>26000</v>
      </c>
      <c r="P9" s="218">
        <f t="shared" si="0"/>
        <v>28000</v>
      </c>
      <c r="Q9" s="218">
        <f t="shared" si="0"/>
        <v>30000</v>
      </c>
      <c r="R9" s="218">
        <f t="shared" si="0"/>
        <v>32000</v>
      </c>
      <c r="S9" s="218">
        <f t="shared" si="0"/>
        <v>34000</v>
      </c>
      <c r="T9" s="218">
        <f t="shared" si="0"/>
        <v>36000</v>
      </c>
      <c r="U9" s="218">
        <f t="shared" si="0"/>
        <v>38000</v>
      </c>
      <c r="V9" s="218">
        <f t="shared" si="0"/>
        <v>40000</v>
      </c>
      <c r="W9" s="218">
        <f t="shared" si="0"/>
        <v>42000</v>
      </c>
      <c r="X9" s="218">
        <f t="shared" si="0"/>
        <v>44000</v>
      </c>
      <c r="Y9" s="218">
        <f t="shared" si="0"/>
        <v>46000</v>
      </c>
      <c r="Z9" s="218">
        <f t="shared" si="0"/>
        <v>48000</v>
      </c>
    </row>
    <row r="10" spans="1:26">
      <c r="A10" t="s">
        <v>143</v>
      </c>
      <c r="B10" s="85"/>
      <c r="C10" s="86">
        <f>C13+C14</f>
        <v>40000</v>
      </c>
      <c r="D10" s="86">
        <f t="shared" ref="D10:Z10" si="1">D13+D14</f>
        <v>80000</v>
      </c>
      <c r="E10" s="86">
        <f t="shared" si="1"/>
        <v>120000</v>
      </c>
      <c r="F10" s="86">
        <f t="shared" si="1"/>
        <v>160000</v>
      </c>
      <c r="G10" s="86">
        <f t="shared" si="1"/>
        <v>200000</v>
      </c>
      <c r="H10" s="86">
        <f t="shared" si="1"/>
        <v>240000</v>
      </c>
      <c r="I10" s="86">
        <f t="shared" si="1"/>
        <v>280000</v>
      </c>
      <c r="J10" s="86">
        <f t="shared" si="1"/>
        <v>320000</v>
      </c>
      <c r="K10" s="86">
        <f t="shared" si="1"/>
        <v>360000</v>
      </c>
      <c r="L10" s="86">
        <f t="shared" si="1"/>
        <v>400000</v>
      </c>
      <c r="M10" s="86">
        <f t="shared" si="1"/>
        <v>440000</v>
      </c>
      <c r="N10" s="86">
        <f t="shared" si="1"/>
        <v>480000</v>
      </c>
      <c r="O10" s="86">
        <f t="shared" si="1"/>
        <v>520000</v>
      </c>
      <c r="P10" s="86">
        <f t="shared" si="1"/>
        <v>560000</v>
      </c>
      <c r="Q10" s="86">
        <f t="shared" si="1"/>
        <v>600000</v>
      </c>
      <c r="R10" s="86">
        <f t="shared" si="1"/>
        <v>640000</v>
      </c>
      <c r="S10" s="86">
        <f t="shared" si="1"/>
        <v>680000</v>
      </c>
      <c r="T10" s="86">
        <f t="shared" si="1"/>
        <v>720000</v>
      </c>
      <c r="U10" s="86">
        <f t="shared" si="1"/>
        <v>760000</v>
      </c>
      <c r="V10" s="86">
        <f t="shared" si="1"/>
        <v>800000</v>
      </c>
      <c r="W10" s="86">
        <f t="shared" si="1"/>
        <v>840000</v>
      </c>
      <c r="X10" s="86">
        <f t="shared" si="1"/>
        <v>880000</v>
      </c>
      <c r="Y10" s="86">
        <f t="shared" si="1"/>
        <v>920000</v>
      </c>
      <c r="Z10" s="86">
        <f t="shared" si="1"/>
        <v>960000</v>
      </c>
    </row>
    <row r="11" spans="1:26">
      <c r="A11" t="s">
        <v>26</v>
      </c>
      <c r="B11" s="85">
        <f>$B$6*B9-$B$4*$B$7</f>
        <v>-68000</v>
      </c>
      <c r="C11" s="86">
        <f t="shared" ref="C11:Z11" si="2">$B$6*C9-$B$4*$B$7</f>
        <v>-28000</v>
      </c>
      <c r="D11" s="86">
        <f t="shared" si="2"/>
        <v>12000</v>
      </c>
      <c r="E11" s="86">
        <f t="shared" si="2"/>
        <v>52000</v>
      </c>
      <c r="F11" s="86">
        <f t="shared" si="2"/>
        <v>92000</v>
      </c>
      <c r="G11" s="86">
        <f t="shared" si="2"/>
        <v>132000</v>
      </c>
      <c r="H11" s="86">
        <f t="shared" si="2"/>
        <v>172000</v>
      </c>
      <c r="I11" s="86">
        <f t="shared" si="2"/>
        <v>212000</v>
      </c>
      <c r="J11" s="86">
        <f t="shared" si="2"/>
        <v>252000</v>
      </c>
      <c r="K11" s="86">
        <f t="shared" si="2"/>
        <v>292000</v>
      </c>
      <c r="L11" s="86">
        <f t="shared" si="2"/>
        <v>332000</v>
      </c>
      <c r="M11" s="86">
        <f t="shared" si="2"/>
        <v>372000</v>
      </c>
      <c r="N11" s="86">
        <f t="shared" si="2"/>
        <v>412000</v>
      </c>
      <c r="O11" s="86">
        <f t="shared" si="2"/>
        <v>452000</v>
      </c>
      <c r="P11" s="86">
        <f t="shared" si="2"/>
        <v>492000</v>
      </c>
      <c r="Q11" s="86">
        <f t="shared" si="2"/>
        <v>532000</v>
      </c>
      <c r="R11" s="86">
        <f t="shared" si="2"/>
        <v>572000</v>
      </c>
      <c r="S11" s="86">
        <f t="shared" si="2"/>
        <v>612000</v>
      </c>
      <c r="T11" s="86">
        <f t="shared" si="2"/>
        <v>652000</v>
      </c>
      <c r="U11" s="86">
        <f t="shared" si="2"/>
        <v>692000</v>
      </c>
      <c r="V11" s="86">
        <f t="shared" si="2"/>
        <v>732000</v>
      </c>
      <c r="W11" s="86">
        <f t="shared" si="2"/>
        <v>772000</v>
      </c>
      <c r="X11" s="86">
        <f t="shared" si="2"/>
        <v>812000</v>
      </c>
      <c r="Y11" s="86">
        <f t="shared" si="2"/>
        <v>852000</v>
      </c>
      <c r="Z11" s="86">
        <f t="shared" si="2"/>
        <v>892000</v>
      </c>
    </row>
    <row r="12" spans="1:26">
      <c r="A12" t="s">
        <v>27</v>
      </c>
      <c r="B12" s="85">
        <f>$B$4*$B$7</f>
        <v>68000</v>
      </c>
      <c r="C12" s="86">
        <f t="shared" ref="C12:Z12" si="3">$B$4*$B$7</f>
        <v>68000</v>
      </c>
      <c r="D12" s="86">
        <f t="shared" si="3"/>
        <v>68000</v>
      </c>
      <c r="E12" s="86">
        <f t="shared" si="3"/>
        <v>68000</v>
      </c>
      <c r="F12" s="86">
        <f t="shared" si="3"/>
        <v>68000</v>
      </c>
      <c r="G12" s="86">
        <f t="shared" si="3"/>
        <v>68000</v>
      </c>
      <c r="H12" s="86">
        <f t="shared" si="3"/>
        <v>68000</v>
      </c>
      <c r="I12" s="86">
        <f t="shared" si="3"/>
        <v>68000</v>
      </c>
      <c r="J12" s="86">
        <f t="shared" si="3"/>
        <v>68000</v>
      </c>
      <c r="K12" s="86">
        <f t="shared" si="3"/>
        <v>68000</v>
      </c>
      <c r="L12" s="86">
        <f t="shared" si="3"/>
        <v>68000</v>
      </c>
      <c r="M12" s="86">
        <f t="shared" si="3"/>
        <v>68000</v>
      </c>
      <c r="N12" s="86">
        <f t="shared" si="3"/>
        <v>68000</v>
      </c>
      <c r="O12" s="86">
        <f t="shared" si="3"/>
        <v>68000</v>
      </c>
      <c r="P12" s="86">
        <f t="shared" si="3"/>
        <v>68000</v>
      </c>
      <c r="Q12" s="86">
        <f t="shared" si="3"/>
        <v>68000</v>
      </c>
      <c r="R12" s="86">
        <f t="shared" si="3"/>
        <v>68000</v>
      </c>
      <c r="S12" s="86">
        <f t="shared" si="3"/>
        <v>68000</v>
      </c>
      <c r="T12" s="86">
        <f t="shared" si="3"/>
        <v>68000</v>
      </c>
      <c r="U12" s="86">
        <f t="shared" si="3"/>
        <v>68000</v>
      </c>
      <c r="V12" s="86">
        <f t="shared" si="3"/>
        <v>68000</v>
      </c>
      <c r="W12" s="86">
        <f t="shared" si="3"/>
        <v>68000</v>
      </c>
      <c r="X12" s="86">
        <f t="shared" si="3"/>
        <v>68000</v>
      </c>
      <c r="Y12" s="86">
        <f t="shared" si="3"/>
        <v>68000</v>
      </c>
      <c r="Z12" s="86">
        <f t="shared" si="3"/>
        <v>68000</v>
      </c>
    </row>
    <row r="13" spans="1:26">
      <c r="A13" t="s">
        <v>32</v>
      </c>
      <c r="B13" s="85">
        <f>IF(B9&lt;$B$4,$B$6*B9,$B$8*$B$6*B9)</f>
        <v>0</v>
      </c>
      <c r="C13" s="86">
        <f t="shared" ref="C13:Z13" si="4">IF(C9&lt;$B$4,$B$6*C9,$B$8*$B$6*C9)</f>
        <v>40000</v>
      </c>
      <c r="D13" s="86">
        <f t="shared" si="4"/>
        <v>80000</v>
      </c>
      <c r="E13" s="86">
        <f t="shared" si="4"/>
        <v>120000</v>
      </c>
      <c r="F13" s="86">
        <f t="shared" si="4"/>
        <v>160000</v>
      </c>
      <c r="G13" s="86">
        <f t="shared" si="4"/>
        <v>200000</v>
      </c>
      <c r="H13" s="86">
        <f t="shared" si="4"/>
        <v>240000</v>
      </c>
      <c r="I13" s="86">
        <f t="shared" si="4"/>
        <v>280000</v>
      </c>
      <c r="J13" s="86">
        <f t="shared" si="4"/>
        <v>320000</v>
      </c>
      <c r="K13" s="86">
        <f t="shared" si="4"/>
        <v>360000</v>
      </c>
      <c r="L13" s="86">
        <f t="shared" si="4"/>
        <v>400000</v>
      </c>
      <c r="M13" s="86">
        <f t="shared" si="4"/>
        <v>440000</v>
      </c>
      <c r="N13" s="86">
        <f t="shared" si="4"/>
        <v>480000</v>
      </c>
      <c r="O13" s="86">
        <f t="shared" si="4"/>
        <v>520000</v>
      </c>
      <c r="P13" s="86">
        <f t="shared" si="4"/>
        <v>560000</v>
      </c>
      <c r="Q13" s="86">
        <f t="shared" si="4"/>
        <v>600000</v>
      </c>
      <c r="R13" s="86">
        <f t="shared" si="4"/>
        <v>640000</v>
      </c>
      <c r="S13" s="86">
        <f t="shared" si="4"/>
        <v>408000</v>
      </c>
      <c r="T13" s="86">
        <f t="shared" si="4"/>
        <v>432000</v>
      </c>
      <c r="U13" s="86">
        <f t="shared" si="4"/>
        <v>456000</v>
      </c>
      <c r="V13" s="86">
        <f t="shared" si="4"/>
        <v>480000</v>
      </c>
      <c r="W13" s="86">
        <f t="shared" si="4"/>
        <v>504000</v>
      </c>
      <c r="X13" s="86">
        <f t="shared" si="4"/>
        <v>528000</v>
      </c>
      <c r="Y13" s="86">
        <f t="shared" si="4"/>
        <v>552000</v>
      </c>
      <c r="Z13" s="86">
        <f t="shared" si="4"/>
        <v>576000</v>
      </c>
    </row>
    <row r="14" spans="1:26">
      <c r="A14" t="s">
        <v>33</v>
      </c>
      <c r="B14" s="85">
        <f>IF(B9&lt;$B$4,0,(1-$B$8)*$B$6*B9)</f>
        <v>0</v>
      </c>
      <c r="C14" s="86">
        <f t="shared" ref="C14:Z14" si="5">IF(C9&lt;$B$4,0,(1-$B$8)*$B$6*C9)</f>
        <v>0</v>
      </c>
      <c r="D14" s="86">
        <f t="shared" si="5"/>
        <v>0</v>
      </c>
      <c r="E14" s="86">
        <f t="shared" si="5"/>
        <v>0</v>
      </c>
      <c r="F14" s="86">
        <f t="shared" si="5"/>
        <v>0</v>
      </c>
      <c r="G14" s="86">
        <f t="shared" si="5"/>
        <v>0</v>
      </c>
      <c r="H14" s="86">
        <f t="shared" si="5"/>
        <v>0</v>
      </c>
      <c r="I14" s="86">
        <f t="shared" si="5"/>
        <v>0</v>
      </c>
      <c r="J14" s="86">
        <f t="shared" si="5"/>
        <v>0</v>
      </c>
      <c r="K14" s="86">
        <f t="shared" si="5"/>
        <v>0</v>
      </c>
      <c r="L14" s="86">
        <f t="shared" si="5"/>
        <v>0</v>
      </c>
      <c r="M14" s="86">
        <f t="shared" si="5"/>
        <v>0</v>
      </c>
      <c r="N14" s="86">
        <f t="shared" si="5"/>
        <v>0</v>
      </c>
      <c r="O14" s="86">
        <f t="shared" si="5"/>
        <v>0</v>
      </c>
      <c r="P14" s="86">
        <f t="shared" si="5"/>
        <v>0</v>
      </c>
      <c r="Q14" s="86">
        <f t="shared" si="5"/>
        <v>0</v>
      </c>
      <c r="R14" s="86">
        <f t="shared" si="5"/>
        <v>0</v>
      </c>
      <c r="S14" s="86">
        <f t="shared" si="5"/>
        <v>272000</v>
      </c>
      <c r="T14" s="86">
        <f t="shared" si="5"/>
        <v>288000</v>
      </c>
      <c r="U14" s="86">
        <f t="shared" si="5"/>
        <v>304000</v>
      </c>
      <c r="V14" s="86">
        <f t="shared" si="5"/>
        <v>320000</v>
      </c>
      <c r="W14" s="86">
        <f t="shared" si="5"/>
        <v>336000</v>
      </c>
      <c r="X14" s="86">
        <f t="shared" si="5"/>
        <v>352000</v>
      </c>
      <c r="Y14" s="86">
        <f t="shared" si="5"/>
        <v>368000</v>
      </c>
      <c r="Z14" s="86">
        <f t="shared" si="5"/>
        <v>384000</v>
      </c>
    </row>
    <row r="15" spans="1:26">
      <c r="A15" t="str">
        <f>A10</f>
        <v>CITY(-), COUNCIL(+)</v>
      </c>
      <c r="B15" s="86" t="s">
        <v>553</v>
      </c>
      <c r="T15" s="85" t="s">
        <v>553</v>
      </c>
    </row>
    <row r="16" spans="1:26">
      <c r="A16" t="str">
        <f>A11</f>
        <v>MAN CITY</v>
      </c>
      <c r="B16" s="85" t="s">
        <v>138</v>
      </c>
      <c r="T16" s="85"/>
    </row>
    <row r="17" spans="1:20">
      <c r="A17" t="str">
        <f>A12</f>
        <v>COUNCIL</v>
      </c>
      <c r="B17" s="85" t="s">
        <v>139</v>
      </c>
      <c r="T17" s="85"/>
    </row>
    <row r="18" spans="1:20">
      <c r="A18" t="str">
        <f>A13</f>
        <v>MAN CITY(-)</v>
      </c>
      <c r="B18" s="85" t="s">
        <v>140</v>
      </c>
      <c r="T18" s="85" t="s">
        <v>553</v>
      </c>
    </row>
    <row r="19" spans="1:20">
      <c r="A19" t="str">
        <f>A14</f>
        <v>COUNCIL(+)</v>
      </c>
      <c r="B19" s="85" t="s">
        <v>141</v>
      </c>
      <c r="T19" s="85" t="s">
        <v>553</v>
      </c>
    </row>
    <row r="43" spans="1:2">
      <c r="A43" t="s">
        <v>31</v>
      </c>
      <c r="B43">
        <v>2</v>
      </c>
    </row>
  </sheetData>
  <phoneticPr fontId="8" type="noConversion"/>
  <printOptions headings="1"/>
  <pageMargins left="0.75" right="0.24" top="1" bottom="1" header="0.5" footer="0.5"/>
  <pageSetup paperSize="9" scale="65" orientation="portrait" horizontalDpi="0" verticalDpi="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C16"/>
  <sheetViews>
    <sheetView workbookViewId="0"/>
  </sheetViews>
  <sheetFormatPr defaultRowHeight="12.75"/>
  <cols>
    <col min="1" max="1" width="30.5703125" bestFit="1" customWidth="1"/>
    <col min="2" max="2" width="7.5703125" customWidth="1"/>
    <col min="3" max="3" width="48.140625" customWidth="1"/>
  </cols>
  <sheetData>
    <row r="1" spans="1:3" ht="18">
      <c r="A1" s="87" t="s">
        <v>81</v>
      </c>
      <c r="C1" s="88"/>
    </row>
    <row r="2" spans="1:3">
      <c r="B2" t="s">
        <v>145</v>
      </c>
    </row>
    <row r="4" spans="1:3">
      <c r="A4" s="17" t="s">
        <v>9</v>
      </c>
      <c r="B4" s="17"/>
      <c r="C4" s="17"/>
    </row>
    <row r="5" spans="1:3">
      <c r="A5" s="17" t="s">
        <v>192</v>
      </c>
      <c r="B5" s="14">
        <v>0.04</v>
      </c>
      <c r="C5" s="14"/>
    </row>
    <row r="6" spans="1:3" ht="15.75">
      <c r="A6" s="17" t="s">
        <v>193</v>
      </c>
      <c r="B6" s="14">
        <v>0.04</v>
      </c>
      <c r="C6" s="14"/>
    </row>
    <row r="7" spans="1:3">
      <c r="A7" s="17" t="s">
        <v>144</v>
      </c>
      <c r="B7" s="14">
        <v>0.2</v>
      </c>
      <c r="C7" s="14"/>
    </row>
    <row r="8" spans="1:3">
      <c r="A8" s="17" t="s">
        <v>110</v>
      </c>
      <c r="B8" s="89">
        <v>1</v>
      </c>
      <c r="C8" s="89"/>
    </row>
    <row r="9" spans="1:3">
      <c r="A9" s="17" t="s">
        <v>111</v>
      </c>
      <c r="B9" s="89">
        <v>1</v>
      </c>
    </row>
    <row r="10" spans="1:3">
      <c r="A10" s="17"/>
      <c r="B10" s="89"/>
    </row>
    <row r="11" spans="1:3">
      <c r="A11" s="17" t="s">
        <v>10</v>
      </c>
      <c r="B11" s="89"/>
    </row>
    <row r="12" spans="1:3">
      <c r="A12" s="16" t="s">
        <v>562</v>
      </c>
      <c r="B12" s="76">
        <f>(B5-B6+(B7^2)/2+SQRT((B6-B5-(B7^2)/2)^2+2*B6*(B7^2)))/(B7^2)</f>
        <v>2</v>
      </c>
      <c r="C12" s="90" t="s">
        <v>13</v>
      </c>
    </row>
    <row r="13" spans="1:3">
      <c r="A13" s="17" t="s">
        <v>566</v>
      </c>
      <c r="B13" s="89">
        <f>B8*B12/(B12-1)</f>
        <v>2</v>
      </c>
      <c r="C13" s="91" t="s">
        <v>14</v>
      </c>
    </row>
    <row r="14" spans="1:3">
      <c r="A14" s="17" t="s">
        <v>96</v>
      </c>
      <c r="B14" s="89">
        <f>IF(B9&gt;$B$13,B15,($B$13-$B$8)*((B9/$B$13)^$B$12))</f>
        <v>0.25</v>
      </c>
      <c r="C14" s="91" t="s">
        <v>80</v>
      </c>
    </row>
    <row r="15" spans="1:3">
      <c r="A15" s="17" t="s">
        <v>11</v>
      </c>
      <c r="B15" s="89">
        <f>IF(B9-$B$8&gt;0,(B9-$B$8),0)</f>
        <v>0</v>
      </c>
      <c r="C15" s="91" t="s">
        <v>15</v>
      </c>
    </row>
    <row r="16" spans="1:3">
      <c r="A16" s="17" t="s">
        <v>12</v>
      </c>
      <c r="B16" s="92">
        <f>MIN((((B9*($B$12-1))/(($B$8*$B$12)))^($B$12-1)),1)</f>
        <v>0.5</v>
      </c>
      <c r="C16" s="15" t="s">
        <v>16</v>
      </c>
    </row>
  </sheetData>
  <phoneticPr fontId="8" type="noConversion"/>
  <printOptions headings="1"/>
  <pageMargins left="0.75" right="0.75" top="1" bottom="1" header="0.5" footer="0.5"/>
  <pageSetup paperSize="9" scale="95" orientation="portrait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47"/>
  <sheetViews>
    <sheetView topLeftCell="A26" workbookViewId="0">
      <selection activeCell="B44" sqref="B44"/>
    </sheetView>
  </sheetViews>
  <sheetFormatPr defaultRowHeight="12.75"/>
  <cols>
    <col min="1" max="1" width="30.5703125" bestFit="1" customWidth="1"/>
    <col min="2" max="10" width="7.5703125" customWidth="1"/>
  </cols>
  <sheetData>
    <row r="1" spans="1:10" ht="18">
      <c r="A1" s="87" t="s">
        <v>81</v>
      </c>
      <c r="C1" s="88"/>
      <c r="D1" s="88"/>
      <c r="E1" s="88"/>
      <c r="F1" s="88"/>
      <c r="G1" s="88"/>
      <c r="H1" s="88"/>
      <c r="I1" s="88"/>
      <c r="J1" s="88"/>
    </row>
    <row r="2" spans="1:10">
      <c r="B2" t="s">
        <v>8</v>
      </c>
    </row>
    <row r="4" spans="1:10">
      <c r="A4" s="17" t="s">
        <v>9</v>
      </c>
      <c r="B4" s="17"/>
      <c r="C4" s="17"/>
      <c r="D4" s="17"/>
      <c r="E4" s="17"/>
      <c r="F4" s="17"/>
      <c r="G4" s="17"/>
      <c r="H4" s="17"/>
      <c r="I4" s="17"/>
      <c r="J4" s="17"/>
    </row>
    <row r="5" spans="1:10">
      <c r="A5" s="17" t="s">
        <v>192</v>
      </c>
      <c r="B5" s="14">
        <f t="shared" ref="B5:B9" si="0">B41</f>
        <v>0.04</v>
      </c>
      <c r="C5" s="14"/>
      <c r="D5" s="14"/>
      <c r="E5" s="14"/>
      <c r="F5" s="14"/>
      <c r="G5" s="14"/>
      <c r="H5" s="14"/>
      <c r="I5" s="14"/>
      <c r="J5" s="14"/>
    </row>
    <row r="6" spans="1:10" ht="15.75">
      <c r="A6" s="17" t="s">
        <v>193</v>
      </c>
      <c r="B6" s="14">
        <f t="shared" si="0"/>
        <v>0.04</v>
      </c>
      <c r="C6" s="14"/>
      <c r="D6" s="14"/>
      <c r="E6" s="14"/>
      <c r="F6" s="14"/>
      <c r="G6" s="14"/>
      <c r="H6" s="14"/>
      <c r="I6" s="14"/>
      <c r="J6" s="14"/>
    </row>
    <row r="7" spans="1:10">
      <c r="A7" s="17" t="s">
        <v>144</v>
      </c>
      <c r="B7" s="14">
        <f t="shared" si="0"/>
        <v>0.2</v>
      </c>
      <c r="C7" s="14"/>
      <c r="D7" s="14"/>
      <c r="E7" s="14"/>
      <c r="F7" s="14"/>
      <c r="G7" s="14"/>
      <c r="H7" s="14"/>
      <c r="I7" s="14"/>
      <c r="J7" s="14"/>
    </row>
    <row r="8" spans="1:10">
      <c r="A8" s="17" t="s">
        <v>110</v>
      </c>
      <c r="B8" s="89">
        <f t="shared" si="0"/>
        <v>1</v>
      </c>
      <c r="C8" s="89"/>
      <c r="D8" s="89"/>
      <c r="E8" s="89"/>
      <c r="F8" s="89"/>
      <c r="G8" s="89"/>
      <c r="H8" s="89"/>
      <c r="I8" s="89"/>
      <c r="J8" s="89"/>
    </row>
    <row r="9" spans="1:10">
      <c r="A9" s="17" t="s">
        <v>111</v>
      </c>
      <c r="B9" s="89">
        <f t="shared" si="0"/>
        <v>0</v>
      </c>
      <c r="C9" s="89">
        <f>B9+0.25</f>
        <v>0.25</v>
      </c>
      <c r="D9" s="89">
        <f t="shared" ref="D9:J9" si="1">C9+0.25</f>
        <v>0.5</v>
      </c>
      <c r="E9" s="89">
        <f t="shared" si="1"/>
        <v>0.75</v>
      </c>
      <c r="F9" s="89">
        <f t="shared" si="1"/>
        <v>1</v>
      </c>
      <c r="G9" s="89">
        <f t="shared" si="1"/>
        <v>1.25</v>
      </c>
      <c r="H9" s="89">
        <f t="shared" si="1"/>
        <v>1.5</v>
      </c>
      <c r="I9" s="89">
        <f t="shared" si="1"/>
        <v>1.75</v>
      </c>
      <c r="J9" s="89">
        <f t="shared" si="1"/>
        <v>2</v>
      </c>
    </row>
    <row r="10" spans="1:10">
      <c r="A10" s="17"/>
      <c r="B10" s="89"/>
      <c r="C10" s="89"/>
      <c r="D10" s="89"/>
      <c r="E10" s="89"/>
      <c r="F10" s="89"/>
      <c r="G10" s="89"/>
      <c r="H10" s="89"/>
      <c r="I10" s="89"/>
      <c r="J10" s="89"/>
    </row>
    <row r="11" spans="1:10">
      <c r="A11" s="17" t="s">
        <v>10</v>
      </c>
      <c r="B11" s="89"/>
      <c r="C11" s="89"/>
      <c r="D11" s="89"/>
      <c r="E11" s="89"/>
      <c r="F11" s="89"/>
      <c r="G11" s="89"/>
      <c r="H11" s="89"/>
      <c r="I11" s="89"/>
      <c r="J11" s="89"/>
    </row>
    <row r="12" spans="1:10">
      <c r="A12" s="16" t="s">
        <v>562</v>
      </c>
      <c r="B12" s="76">
        <f>(B5-B6+(B7^2)/2+SQRT((B6-B5-(B7^2)/2)^2+2*B6*(B7^2)))/(B7^2)</f>
        <v>2</v>
      </c>
      <c r="C12" s="89"/>
      <c r="D12" s="89"/>
      <c r="E12" s="89"/>
      <c r="F12" s="89"/>
      <c r="G12" s="89"/>
      <c r="H12" s="89"/>
      <c r="I12" s="89"/>
      <c r="J12" s="89"/>
    </row>
    <row r="13" spans="1:10">
      <c r="A13" s="17" t="s">
        <v>566</v>
      </c>
      <c r="B13" s="89">
        <f>B8*B12/(B12-1)</f>
        <v>2</v>
      </c>
      <c r="C13" s="89"/>
      <c r="D13" s="89"/>
      <c r="E13" s="89"/>
      <c r="F13" s="89"/>
      <c r="G13" s="89"/>
      <c r="H13" s="89"/>
      <c r="I13" s="89"/>
      <c r="J13" s="89"/>
    </row>
    <row r="14" spans="1:10">
      <c r="A14" s="17" t="s">
        <v>96</v>
      </c>
      <c r="B14" s="89">
        <f t="shared" ref="B14:J14" si="2">IF(B9&gt;$B$13,B15,($B$13-$B$8)*((B9/$B$13)^$B$12))</f>
        <v>0</v>
      </c>
      <c r="C14" s="89">
        <f t="shared" si="2"/>
        <v>1.5625E-2</v>
      </c>
      <c r="D14" s="89">
        <f t="shared" si="2"/>
        <v>6.25E-2</v>
      </c>
      <c r="E14" s="89">
        <f t="shared" si="2"/>
        <v>0.140625</v>
      </c>
      <c r="F14" s="89">
        <f t="shared" si="2"/>
        <v>0.25</v>
      </c>
      <c r="G14" s="89">
        <f t="shared" si="2"/>
        <v>0.390625</v>
      </c>
      <c r="H14" s="89">
        <f t="shared" si="2"/>
        <v>0.5625</v>
      </c>
      <c r="I14" s="89">
        <f t="shared" si="2"/>
        <v>0.765625</v>
      </c>
      <c r="J14" s="89">
        <f t="shared" si="2"/>
        <v>1</v>
      </c>
    </row>
    <row r="15" spans="1:10">
      <c r="A15" s="17" t="s">
        <v>11</v>
      </c>
      <c r="B15" s="89">
        <f t="shared" ref="B15:J15" si="3">IF(B9-$B$8&gt;0,(B9-$B$8),0)</f>
        <v>0</v>
      </c>
      <c r="C15" s="89">
        <f t="shared" si="3"/>
        <v>0</v>
      </c>
      <c r="D15" s="89">
        <f t="shared" si="3"/>
        <v>0</v>
      </c>
      <c r="E15" s="89">
        <f t="shared" si="3"/>
        <v>0</v>
      </c>
      <c r="F15" s="89">
        <f t="shared" si="3"/>
        <v>0</v>
      </c>
      <c r="G15" s="89">
        <f t="shared" si="3"/>
        <v>0.25</v>
      </c>
      <c r="H15" s="89">
        <f t="shared" si="3"/>
        <v>0.5</v>
      </c>
      <c r="I15" s="89">
        <f t="shared" si="3"/>
        <v>0.75</v>
      </c>
      <c r="J15" s="89">
        <f t="shared" si="3"/>
        <v>1</v>
      </c>
    </row>
    <row r="16" spans="1:10">
      <c r="A16" s="17" t="s">
        <v>12</v>
      </c>
      <c r="B16" s="92">
        <f t="shared" ref="B16:J16" si="4">MIN((((B9*($B$12-1))/(($B$8*$B$12)))^($B$12-1)),1)</f>
        <v>0</v>
      </c>
      <c r="C16" s="92">
        <f t="shared" si="4"/>
        <v>0.125</v>
      </c>
      <c r="D16" s="92">
        <f t="shared" si="4"/>
        <v>0.25</v>
      </c>
      <c r="E16" s="92">
        <f t="shared" si="4"/>
        <v>0.375</v>
      </c>
      <c r="F16" s="92">
        <f t="shared" si="4"/>
        <v>0.5</v>
      </c>
      <c r="G16" s="92">
        <f t="shared" si="4"/>
        <v>0.625</v>
      </c>
      <c r="H16" s="92">
        <f t="shared" si="4"/>
        <v>0.75</v>
      </c>
      <c r="I16" s="92">
        <f t="shared" si="4"/>
        <v>0.875</v>
      </c>
      <c r="J16" s="92">
        <f t="shared" si="4"/>
        <v>1</v>
      </c>
    </row>
    <row r="17" spans="1:10">
      <c r="A17" s="43" t="str">
        <f>A14</f>
        <v>DEVELOPMENT OPTION VALUE</v>
      </c>
      <c r="B17" s="93" t="s">
        <v>80</v>
      </c>
      <c r="C17" s="17"/>
      <c r="D17" s="17"/>
      <c r="E17" s="17"/>
      <c r="F17" s="17"/>
      <c r="G17" s="17"/>
      <c r="H17" s="17"/>
      <c r="I17" s="17"/>
      <c r="J17" s="17"/>
    </row>
    <row r="18" spans="1:10">
      <c r="A18" s="43" t="str">
        <f>A16</f>
        <v>DELTA</v>
      </c>
      <c r="B18" s="94" t="s">
        <v>16</v>
      </c>
      <c r="C18" s="17"/>
      <c r="D18" s="17"/>
      <c r="E18" s="17"/>
      <c r="F18" s="17"/>
      <c r="G18" s="17"/>
      <c r="H18" s="17"/>
      <c r="I18" s="17"/>
      <c r="J18" s="17"/>
    </row>
    <row r="41" spans="1:2">
      <c r="A41" s="17" t="s">
        <v>192</v>
      </c>
      <c r="B41" s="14">
        <v>0.04</v>
      </c>
    </row>
    <row r="42" spans="1:2" ht="15.75">
      <c r="A42" s="17" t="s">
        <v>193</v>
      </c>
      <c r="B42" s="14">
        <v>0.04</v>
      </c>
    </row>
    <row r="43" spans="1:2">
      <c r="A43" s="17" t="s">
        <v>144</v>
      </c>
      <c r="B43" s="194">
        <v>0.2</v>
      </c>
    </row>
    <row r="44" spans="1:2">
      <c r="A44" s="17" t="s">
        <v>110</v>
      </c>
      <c r="B44" s="89">
        <v>1</v>
      </c>
    </row>
    <row r="45" spans="1:2">
      <c r="A45" s="17" t="s">
        <v>111</v>
      </c>
      <c r="B45" s="89">
        <v>0</v>
      </c>
    </row>
    <row r="47" spans="1:2">
      <c r="A47" t="str">
        <f t="shared" ref="A47:B47" si="5">A13</f>
        <v>V*</v>
      </c>
      <c r="B47" s="378">
        <f t="shared" si="5"/>
        <v>2</v>
      </c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17"/>
  <sheetViews>
    <sheetView topLeftCell="A8" workbookViewId="0">
      <selection activeCell="A14" sqref="A14"/>
    </sheetView>
  </sheetViews>
  <sheetFormatPr defaultRowHeight="12.75"/>
  <cols>
    <col min="1" max="1" width="30.5703125" bestFit="1" customWidth="1"/>
    <col min="2" max="2" width="7.5703125" customWidth="1"/>
    <col min="3" max="10" width="8.5703125" customWidth="1"/>
  </cols>
  <sheetData>
    <row r="1" spans="1:10" ht="18">
      <c r="A1" s="87" t="s">
        <v>81</v>
      </c>
      <c r="C1" s="88"/>
      <c r="D1" s="88"/>
      <c r="E1" s="88"/>
      <c r="F1" s="88"/>
      <c r="G1" s="88"/>
      <c r="H1" s="88"/>
      <c r="I1" s="88"/>
      <c r="J1" s="88"/>
    </row>
    <row r="2" spans="1:10">
      <c r="B2" t="s">
        <v>8</v>
      </c>
    </row>
    <row r="4" spans="1:10">
      <c r="A4" s="17" t="s">
        <v>9</v>
      </c>
      <c r="B4" s="17"/>
      <c r="C4" s="17"/>
      <c r="D4" s="17"/>
      <c r="E4" s="17"/>
      <c r="F4" s="17"/>
      <c r="G4" s="17"/>
      <c r="H4" s="17"/>
      <c r="I4" s="17"/>
      <c r="J4" s="17"/>
    </row>
    <row r="5" spans="1:10">
      <c r="A5" s="17" t="s">
        <v>192</v>
      </c>
      <c r="B5" s="14">
        <v>0.04</v>
      </c>
      <c r="C5" s="14"/>
      <c r="D5" s="14"/>
      <c r="E5" s="14"/>
      <c r="F5" s="14"/>
      <c r="G5" s="14"/>
      <c r="H5" s="14"/>
      <c r="I5" s="14"/>
      <c r="J5" s="14"/>
    </row>
    <row r="6" spans="1:10" ht="15.75">
      <c r="A6" s="17" t="s">
        <v>193</v>
      </c>
      <c r="B6" s="14">
        <v>0.04</v>
      </c>
      <c r="C6" s="14"/>
      <c r="D6" s="14"/>
      <c r="E6" s="14"/>
      <c r="F6" s="14"/>
      <c r="G6" s="14"/>
      <c r="H6" s="14"/>
      <c r="I6" s="14"/>
      <c r="J6" s="14"/>
    </row>
    <row r="7" spans="1:10">
      <c r="A7" s="17" t="s">
        <v>94</v>
      </c>
      <c r="B7" s="95">
        <v>0.05</v>
      </c>
      <c r="C7" s="95">
        <f>B7+0.025</f>
        <v>7.5000000000000011E-2</v>
      </c>
      <c r="D7" s="95">
        <f t="shared" ref="D7:J7" si="0">C7+0.025</f>
        <v>0.1</v>
      </c>
      <c r="E7" s="95">
        <f t="shared" si="0"/>
        <v>0.125</v>
      </c>
      <c r="F7" s="95">
        <f t="shared" si="0"/>
        <v>0.15</v>
      </c>
      <c r="G7" s="95">
        <f t="shared" si="0"/>
        <v>0.17499999999999999</v>
      </c>
      <c r="H7" s="95">
        <f t="shared" si="0"/>
        <v>0.19999999999999998</v>
      </c>
      <c r="I7" s="95">
        <f t="shared" si="0"/>
        <v>0.22499999999999998</v>
      </c>
      <c r="J7" s="95">
        <f t="shared" si="0"/>
        <v>0.24999999999999997</v>
      </c>
    </row>
    <row r="8" spans="1:10">
      <c r="A8" s="17" t="s">
        <v>6</v>
      </c>
      <c r="B8" s="89">
        <v>1</v>
      </c>
      <c r="C8" s="89"/>
      <c r="D8" s="89"/>
      <c r="E8" s="89"/>
      <c r="F8" s="89"/>
      <c r="G8" s="89"/>
      <c r="H8" s="89"/>
      <c r="I8" s="89"/>
      <c r="J8" s="89"/>
    </row>
    <row r="9" spans="1:10">
      <c r="A9" s="17" t="s">
        <v>95</v>
      </c>
      <c r="B9" s="89">
        <v>1</v>
      </c>
      <c r="C9" s="89" t="s">
        <v>553</v>
      </c>
      <c r="D9" s="89" t="s">
        <v>553</v>
      </c>
      <c r="E9" s="89" t="s">
        <v>553</v>
      </c>
      <c r="F9" s="89" t="s">
        <v>553</v>
      </c>
      <c r="G9" s="89" t="s">
        <v>553</v>
      </c>
      <c r="H9" s="89" t="s">
        <v>553</v>
      </c>
      <c r="I9" s="89" t="s">
        <v>553</v>
      </c>
      <c r="J9" s="89" t="s">
        <v>553</v>
      </c>
    </row>
    <row r="10" spans="1:10">
      <c r="A10" s="17"/>
      <c r="B10" s="89"/>
      <c r="C10" s="89"/>
      <c r="D10" s="89"/>
      <c r="E10" s="89"/>
      <c r="F10" s="89"/>
      <c r="G10" s="89"/>
      <c r="H10" s="89"/>
      <c r="I10" s="89"/>
      <c r="J10" s="89"/>
    </row>
    <row r="11" spans="1:10">
      <c r="A11" s="17" t="s">
        <v>10</v>
      </c>
      <c r="B11" s="89"/>
      <c r="C11" s="89"/>
      <c r="D11" s="89"/>
      <c r="E11" s="89"/>
      <c r="F11" s="89"/>
      <c r="G11" s="89"/>
      <c r="H11" s="89"/>
      <c r="I11" s="89"/>
      <c r="J11" s="89"/>
    </row>
    <row r="12" spans="1:10">
      <c r="A12" s="16" t="s">
        <v>562</v>
      </c>
      <c r="B12" s="89">
        <f>($B$5-$B$6+(B7^2)/2+SQRT(($B$6-$B$5-(B7^2)/2)^2+2*$B$6*(B7^2)))/(B7^2)</f>
        <v>6.1789083458002727</v>
      </c>
      <c r="C12" s="89">
        <f t="shared" ref="C12:J12" si="1">($B$5-$B$6+(C7^2)/2+SQRT(($B$6-$B$5-(C7^2)/2)^2+2*$B$6*(C7^2)))/(C7^2)</f>
        <v>4.304237403504442</v>
      </c>
      <c r="D12" s="89">
        <f t="shared" si="1"/>
        <v>3.3722813232690143</v>
      </c>
      <c r="E12" s="89">
        <f t="shared" si="1"/>
        <v>2.8173260452512934</v>
      </c>
      <c r="F12" s="89">
        <f t="shared" si="1"/>
        <v>2.4507833184532708</v>
      </c>
      <c r="G12" s="89">
        <f t="shared" si="1"/>
        <v>2.1918170403324302</v>
      </c>
      <c r="H12" s="89">
        <f t="shared" si="1"/>
        <v>2</v>
      </c>
      <c r="I12" s="89">
        <f t="shared" si="1"/>
        <v>1.8528661846539913</v>
      </c>
      <c r="J12" s="89">
        <f t="shared" si="1"/>
        <v>1.7369316876852983</v>
      </c>
    </row>
    <row r="13" spans="1:10">
      <c r="A13" s="17" t="s">
        <v>566</v>
      </c>
      <c r="B13" s="89">
        <f>$B$8*B12/(B12-1)</f>
        <v>1.1930908858062585</v>
      </c>
      <c r="C13" s="89">
        <f t="shared" ref="C13:J13" si="2">$B$8*C12/(C12-1)</f>
        <v>1.3026416924339062</v>
      </c>
      <c r="D13" s="89">
        <f t="shared" si="2"/>
        <v>1.4215351654086268</v>
      </c>
      <c r="E13" s="89">
        <f t="shared" si="2"/>
        <v>1.5502589932131432</v>
      </c>
      <c r="F13" s="89">
        <f t="shared" si="2"/>
        <v>1.6892828083149825</v>
      </c>
      <c r="G13" s="89">
        <f t="shared" si="2"/>
        <v>1.8390549607522584</v>
      </c>
      <c r="H13" s="89">
        <f t="shared" si="2"/>
        <v>2</v>
      </c>
      <c r="I13" s="89">
        <f t="shared" si="2"/>
        <v>2.1725168824763537</v>
      </c>
      <c r="J13" s="89">
        <f t="shared" si="2"/>
        <v>2.3569778810041391</v>
      </c>
    </row>
    <row r="14" spans="1:10">
      <c r="A14" s="382" t="s">
        <v>104</v>
      </c>
      <c r="B14" s="89">
        <f>IF($B$9&gt;B13,B17,(B13-$B$8)*(($B$9/B13)^B12))</f>
        <v>6.4863902219186337E-2</v>
      </c>
      <c r="C14" s="89">
        <f t="shared" ref="C14:J14" si="3">IF($B$9&gt;C13,C17,(C13-$B$8)*(($B$9/C13)^C12))</f>
        <v>9.6982820093864094E-2</v>
      </c>
      <c r="D14" s="89">
        <f t="shared" si="3"/>
        <v>0.12873367971648519</v>
      </c>
      <c r="E14" s="89">
        <f t="shared" si="3"/>
        <v>0.16000600060882611</v>
      </c>
      <c r="F14" s="89">
        <f t="shared" si="3"/>
        <v>0.19069894727774556</v>
      </c>
      <c r="G14" s="89">
        <f t="shared" si="3"/>
        <v>0.22072281110023048</v>
      </c>
      <c r="H14" s="89">
        <f t="shared" si="3"/>
        <v>0.25</v>
      </c>
      <c r="I14" s="89">
        <f t="shared" si="3"/>
        <v>0.27846554057978989</v>
      </c>
      <c r="J14" s="89">
        <f t="shared" si="3"/>
        <v>0.30606712889071547</v>
      </c>
    </row>
    <row r="15" spans="1:10">
      <c r="A15" s="17" t="s">
        <v>12</v>
      </c>
      <c r="B15" s="92">
        <f>MIN(((($B$9*(B12-1))/(($B$8*B12)))^(B12-1)),1)</f>
        <v>0.40078810676330334</v>
      </c>
      <c r="C15" s="92">
        <f t="shared" ref="C15:J15" si="4">MIN(((($B$9*(C12-1))/(($B$8*C12)))^(C12-1)),1)</f>
        <v>0.41743708174535205</v>
      </c>
      <c r="D15" s="92">
        <f t="shared" si="4"/>
        <v>0.43412618378359819</v>
      </c>
      <c r="E15" s="92">
        <f t="shared" si="4"/>
        <v>0.45078907291174003</v>
      </c>
      <c r="F15" s="92">
        <f t="shared" si="4"/>
        <v>0.46736179883489865</v>
      </c>
      <c r="G15" s="92">
        <f t="shared" si="4"/>
        <v>0.48378401855956116</v>
      </c>
      <c r="H15" s="92">
        <f t="shared" si="4"/>
        <v>0.5</v>
      </c>
      <c r="I15" s="92">
        <f t="shared" si="4"/>
        <v>0.51595938373168659</v>
      </c>
      <c r="J15" s="92">
        <f t="shared" si="4"/>
        <v>0.53161769472914411</v>
      </c>
    </row>
    <row r="16" spans="1:10">
      <c r="A16" s="17"/>
      <c r="B16" s="92"/>
      <c r="C16" s="92"/>
      <c r="D16" s="92"/>
      <c r="E16" s="92"/>
      <c r="F16" s="92"/>
      <c r="G16" s="92"/>
      <c r="H16" s="92"/>
      <c r="I16" s="92"/>
      <c r="J16" s="92"/>
    </row>
    <row r="17" spans="1:10">
      <c r="A17" s="17" t="s">
        <v>11</v>
      </c>
      <c r="B17" s="89">
        <f>IF($B$9-$B$8&gt;0,($B$9-$B$8),0)</f>
        <v>0</v>
      </c>
      <c r="C17" s="89">
        <f>IF($B$9-$B$8&gt;0,($B$9-$B$8),0)</f>
        <v>0</v>
      </c>
      <c r="D17" s="89">
        <f t="shared" ref="D17:J17" si="5">IF($B$9-$B$8&gt;0,($B$9-$B$8),0)</f>
        <v>0</v>
      </c>
      <c r="E17" s="89">
        <f t="shared" si="5"/>
        <v>0</v>
      </c>
      <c r="F17" s="89">
        <f t="shared" si="5"/>
        <v>0</v>
      </c>
      <c r="G17" s="89">
        <f t="shared" si="5"/>
        <v>0</v>
      </c>
      <c r="H17" s="89">
        <f t="shared" si="5"/>
        <v>0</v>
      </c>
      <c r="I17" s="89">
        <f t="shared" si="5"/>
        <v>0</v>
      </c>
      <c r="J17" s="89">
        <f t="shared" si="5"/>
        <v>0</v>
      </c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50"/>
  <sheetViews>
    <sheetView topLeftCell="A18" workbookViewId="0">
      <selection activeCell="A18" sqref="A18"/>
    </sheetView>
  </sheetViews>
  <sheetFormatPr defaultRowHeight="12.75"/>
  <cols>
    <col min="2" max="3" width="10.7109375" customWidth="1"/>
    <col min="11" max="11" width="40" bestFit="1" customWidth="1"/>
  </cols>
  <sheetData>
    <row r="1" spans="1:11" ht="15.75">
      <c r="A1" s="33" t="s">
        <v>103</v>
      </c>
      <c r="B1" s="33"/>
      <c r="C1" s="33"/>
      <c r="D1" s="33"/>
      <c r="E1" s="33"/>
      <c r="F1" s="33"/>
      <c r="G1" s="33"/>
      <c r="H1" s="33"/>
      <c r="I1" s="33"/>
      <c r="J1" s="33"/>
    </row>
    <row r="3" spans="1:11" ht="18">
      <c r="A3" s="66" t="s">
        <v>82</v>
      </c>
      <c r="B3" s="66"/>
      <c r="C3" s="66"/>
      <c r="D3" s="66"/>
      <c r="E3" s="66"/>
      <c r="F3" s="66"/>
      <c r="G3" s="66"/>
      <c r="H3" s="66"/>
      <c r="I3" s="66"/>
      <c r="J3" s="66"/>
    </row>
    <row r="4" spans="1:11">
      <c r="A4" s="96" t="s">
        <v>583</v>
      </c>
      <c r="B4" t="s">
        <v>553</v>
      </c>
      <c r="C4" t="s">
        <v>553</v>
      </c>
      <c r="D4" t="s">
        <v>553</v>
      </c>
      <c r="E4" t="s">
        <v>553</v>
      </c>
      <c r="F4" t="s">
        <v>553</v>
      </c>
      <c r="G4" t="s">
        <v>553</v>
      </c>
      <c r="H4" t="s">
        <v>553</v>
      </c>
    </row>
    <row r="5" spans="1:11">
      <c r="A5" t="s">
        <v>1</v>
      </c>
      <c r="B5" s="4">
        <v>1</v>
      </c>
      <c r="C5" s="4">
        <f>B5</f>
        <v>1</v>
      </c>
      <c r="D5" s="4">
        <f t="shared" ref="D5:J5" si="0">C5</f>
        <v>1</v>
      </c>
      <c r="E5" s="4">
        <f t="shared" si="0"/>
        <v>1</v>
      </c>
      <c r="F5" s="4">
        <f t="shared" si="0"/>
        <v>1</v>
      </c>
      <c r="G5" s="4">
        <f t="shared" si="0"/>
        <v>1</v>
      </c>
      <c r="H5" s="4">
        <f t="shared" si="0"/>
        <v>1</v>
      </c>
      <c r="I5" s="4">
        <f t="shared" si="0"/>
        <v>1</v>
      </c>
      <c r="J5" s="4">
        <f t="shared" si="0"/>
        <v>1</v>
      </c>
    </row>
    <row r="6" spans="1:11">
      <c r="A6" t="s">
        <v>35</v>
      </c>
      <c r="B6" s="4">
        <v>1</v>
      </c>
      <c r="C6" s="4">
        <v>1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4">
        <v>1</v>
      </c>
      <c r="J6" s="4">
        <v>1</v>
      </c>
    </row>
    <row r="7" spans="1:11">
      <c r="A7" s="2" t="s">
        <v>5</v>
      </c>
      <c r="B7" s="4">
        <v>0.2</v>
      </c>
      <c r="C7" s="4">
        <f t="shared" ref="C7:J9" si="1">B7</f>
        <v>0.2</v>
      </c>
      <c r="D7" s="4">
        <f t="shared" si="1"/>
        <v>0.2</v>
      </c>
      <c r="E7" s="4">
        <f t="shared" si="1"/>
        <v>0.2</v>
      </c>
      <c r="F7" s="4">
        <f t="shared" si="1"/>
        <v>0.2</v>
      </c>
      <c r="G7" s="4">
        <f t="shared" si="1"/>
        <v>0.2</v>
      </c>
      <c r="H7" s="4">
        <f t="shared" si="1"/>
        <v>0.2</v>
      </c>
      <c r="I7" s="4">
        <f t="shared" si="1"/>
        <v>0.2</v>
      </c>
      <c r="J7" s="4">
        <f t="shared" si="1"/>
        <v>0.2</v>
      </c>
    </row>
    <row r="8" spans="1:11">
      <c r="A8" s="383" t="s">
        <v>2</v>
      </c>
      <c r="B8" s="384">
        <v>0.02</v>
      </c>
      <c r="C8" s="384">
        <f>B8+0.005</f>
        <v>2.5000000000000001E-2</v>
      </c>
      <c r="D8" s="384">
        <f t="shared" ref="D8:J8" si="2">C8+0.005</f>
        <v>3.0000000000000002E-2</v>
      </c>
      <c r="E8" s="384">
        <f t="shared" si="2"/>
        <v>3.5000000000000003E-2</v>
      </c>
      <c r="F8" s="384">
        <f t="shared" si="2"/>
        <v>0.04</v>
      </c>
      <c r="G8" s="384">
        <f t="shared" si="2"/>
        <v>4.4999999999999998E-2</v>
      </c>
      <c r="H8" s="384">
        <f t="shared" si="2"/>
        <v>4.9999999999999996E-2</v>
      </c>
      <c r="I8" s="384">
        <f t="shared" si="2"/>
        <v>5.4999999999999993E-2</v>
      </c>
      <c r="J8" s="384">
        <f t="shared" si="2"/>
        <v>5.9999999999999991E-2</v>
      </c>
    </row>
    <row r="9" spans="1:11">
      <c r="A9" s="2" t="s">
        <v>710</v>
      </c>
      <c r="B9">
        <v>0.04</v>
      </c>
      <c r="C9">
        <f t="shared" si="1"/>
        <v>0.04</v>
      </c>
      <c r="D9">
        <f t="shared" si="1"/>
        <v>0.04</v>
      </c>
      <c r="E9">
        <f t="shared" si="1"/>
        <v>0.04</v>
      </c>
      <c r="F9">
        <f t="shared" si="1"/>
        <v>0.04</v>
      </c>
      <c r="G9" s="4">
        <f t="shared" si="1"/>
        <v>0.04</v>
      </c>
      <c r="H9" s="4">
        <f t="shared" si="1"/>
        <v>0.04</v>
      </c>
      <c r="I9" s="4">
        <f t="shared" si="1"/>
        <v>0.04</v>
      </c>
      <c r="J9" s="4">
        <f t="shared" si="1"/>
        <v>0.04</v>
      </c>
    </row>
    <row r="10" spans="1:11">
      <c r="A10" s="96" t="s">
        <v>605</v>
      </c>
    </row>
    <row r="11" spans="1:11">
      <c r="A11" t="s">
        <v>104</v>
      </c>
      <c r="B11" s="4">
        <f>IF(B5&lt;B14,B15*(B5^B16),B12)</f>
        <v>0.19442768285708267</v>
      </c>
      <c r="C11" s="4">
        <f t="shared" ref="C11:J11" si="3">IF(C5&lt;C14,C15*(C5^C16),C12)</f>
        <v>0.2077116735186976</v>
      </c>
      <c r="D11" s="4">
        <f t="shared" si="3"/>
        <v>0.22148883734991726</v>
      </c>
      <c r="E11" s="4">
        <f t="shared" si="3"/>
        <v>0.23562979124734945</v>
      </c>
      <c r="F11" s="4">
        <f t="shared" si="3"/>
        <v>0.25000000000000006</v>
      </c>
      <c r="G11" s="4">
        <f t="shared" si="3"/>
        <v>0.26446883388207576</v>
      </c>
      <c r="H11" s="4">
        <f t="shared" si="3"/>
        <v>0.27891679653772417</v>
      </c>
      <c r="I11" s="4">
        <f t="shared" si="3"/>
        <v>0.29324023055242654</v>
      </c>
      <c r="J11" s="4">
        <f t="shared" si="3"/>
        <v>0.30735350239315212</v>
      </c>
      <c r="K11" s="32" t="s">
        <v>83</v>
      </c>
    </row>
    <row r="12" spans="1:11">
      <c r="A12" t="s">
        <v>39</v>
      </c>
      <c r="B12" s="4">
        <f t="shared" ref="B12:H12" si="4">B5-B6</f>
        <v>0</v>
      </c>
      <c r="C12" s="4">
        <f t="shared" si="4"/>
        <v>0</v>
      </c>
      <c r="D12" s="4">
        <f t="shared" si="4"/>
        <v>0</v>
      </c>
      <c r="E12" s="4">
        <f t="shared" si="4"/>
        <v>0</v>
      </c>
      <c r="F12" s="4">
        <f t="shared" si="4"/>
        <v>0</v>
      </c>
      <c r="G12" s="4">
        <f t="shared" si="4"/>
        <v>0</v>
      </c>
      <c r="H12" s="4">
        <f t="shared" si="4"/>
        <v>0</v>
      </c>
      <c r="I12" s="4">
        <f>I5-I6</f>
        <v>0</v>
      </c>
      <c r="J12" s="4">
        <f>J5-J6</f>
        <v>0</v>
      </c>
      <c r="K12" s="32" t="s">
        <v>84</v>
      </c>
    </row>
    <row r="13" spans="1:11">
      <c r="A13" t="s">
        <v>195</v>
      </c>
      <c r="B13" s="4">
        <f t="shared" ref="B13:J13" si="5">B15*B16*(B5^(B16-1))</f>
        <v>0.46938994885434387</v>
      </c>
      <c r="C13" s="4">
        <f t="shared" si="5"/>
        <v>0.47664160339522865</v>
      </c>
      <c r="D13" s="4">
        <f t="shared" si="5"/>
        <v>0.48420575342880573</v>
      </c>
      <c r="E13" s="4">
        <f t="shared" si="5"/>
        <v>0.49201561910156022</v>
      </c>
      <c r="F13" s="4">
        <f t="shared" si="5"/>
        <v>0.5</v>
      </c>
      <c r="G13" s="4">
        <f t="shared" si="5"/>
        <v>0.5080881639981768</v>
      </c>
      <c r="H13" s="4">
        <f t="shared" si="5"/>
        <v>0.51621392416888801</v>
      </c>
      <c r="I13" s="4">
        <f t="shared" si="5"/>
        <v>0.52431846950067373</v>
      </c>
      <c r="J13" s="4">
        <f t="shared" si="5"/>
        <v>0.53235188202918193</v>
      </c>
      <c r="K13" s="32" t="s">
        <v>85</v>
      </c>
    </row>
    <row r="14" spans="1:11">
      <c r="A14" t="s">
        <v>566</v>
      </c>
      <c r="B14" s="4">
        <f t="shared" ref="B14:H14" si="6">(B16/(B16-1))*B6</f>
        <v>1.7071067811865477</v>
      </c>
      <c r="C14" s="4">
        <f t="shared" si="6"/>
        <v>1.7723635432250344</v>
      </c>
      <c r="D14" s="4">
        <f t="shared" si="6"/>
        <v>1.8430703308172538</v>
      </c>
      <c r="E14" s="4">
        <f t="shared" si="6"/>
        <v>1.9190437444199768</v>
      </c>
      <c r="F14" s="4">
        <f t="shared" si="6"/>
        <v>2</v>
      </c>
      <c r="G14" s="4">
        <f t="shared" si="6"/>
        <v>2.0855823048033115</v>
      </c>
      <c r="H14" s="4">
        <f t="shared" si="6"/>
        <v>2.1753905296791061</v>
      </c>
      <c r="I14" s="4">
        <f>(I16/(I16-1))*I6</f>
        <v>2.2690084184781294</v>
      </c>
      <c r="J14" s="4">
        <f>(J16/(J16-1))*J6</f>
        <v>2.3660254037844388</v>
      </c>
      <c r="K14" s="32" t="s">
        <v>86</v>
      </c>
    </row>
    <row r="15" spans="1:11">
      <c r="A15" t="s">
        <v>609</v>
      </c>
      <c r="B15" s="4">
        <f t="shared" ref="B15:H15" si="7">(B14-B6)/(B14^B16)</f>
        <v>0.19442768285708267</v>
      </c>
      <c r="C15" s="4">
        <f t="shared" si="7"/>
        <v>0.2077116735186976</v>
      </c>
      <c r="D15" s="4">
        <f t="shared" si="7"/>
        <v>0.22148883734991726</v>
      </c>
      <c r="E15" s="4">
        <f t="shared" si="7"/>
        <v>0.23562979124734945</v>
      </c>
      <c r="F15" s="4">
        <f t="shared" si="7"/>
        <v>0.25000000000000006</v>
      </c>
      <c r="G15" s="4">
        <f t="shared" si="7"/>
        <v>0.26446883388207576</v>
      </c>
      <c r="H15" s="4">
        <f t="shared" si="7"/>
        <v>0.27891679653772417</v>
      </c>
      <c r="I15" s="4">
        <f>(I14-I6)/(I14^I16)</f>
        <v>0.29324023055242654</v>
      </c>
      <c r="J15" s="4">
        <f>(J14-J6)/(J14^J16)</f>
        <v>0.30735350239315212</v>
      </c>
      <c r="K15" s="32" t="s">
        <v>87</v>
      </c>
    </row>
    <row r="16" spans="1:11">
      <c r="A16" s="2" t="s">
        <v>610</v>
      </c>
      <c r="B16" s="4">
        <f>0.5-(B8-B9)/(B7^2)+SQRT(((B8-B9)/(B7^2)-0.5)^2 + (2*B8)/(B7^2))</f>
        <v>2.4142135623730949</v>
      </c>
      <c r="C16" s="4">
        <f t="shared" ref="C16:H16" si="8">0.5-(C8-C9)/(C7^2)+SQRT(((C8-C9)/(C7^2)-0.5)^2 + 2*C8/(C7^2))</f>
        <v>2.294727086450068</v>
      </c>
      <c r="D16" s="4">
        <f t="shared" si="8"/>
        <v>2.1861406616345067</v>
      </c>
      <c r="E16" s="4">
        <f t="shared" si="8"/>
        <v>2.0880874888399528</v>
      </c>
      <c r="F16" s="4">
        <f t="shared" si="8"/>
        <v>1.9999999999999998</v>
      </c>
      <c r="G16" s="4">
        <f t="shared" si="8"/>
        <v>1.9211646096066226</v>
      </c>
      <c r="H16" s="4">
        <f t="shared" si="8"/>
        <v>1.8507810593582121</v>
      </c>
      <c r="I16" s="4">
        <f>0.5-(I8-I9)/(I7^2)+SQRT(((I8-I9)/(I7^2)-0.5)^2 + 2*I8/(I7^2))</f>
        <v>1.7880168369562588</v>
      </c>
      <c r="J16" s="4">
        <f>0.5-(J8-J9)/(J7^2)+SQRT(((J8-J9)/(J7^2)-0.5)^2 + 2*J8/(J7^2))</f>
        <v>1.7320508075688772</v>
      </c>
      <c r="K16" s="9"/>
    </row>
    <row r="17" spans="1:11">
      <c r="A17" s="2" t="s">
        <v>44</v>
      </c>
      <c r="I17" s="32" t="s">
        <v>88</v>
      </c>
      <c r="K17" s="9"/>
    </row>
    <row r="18" spans="1:11">
      <c r="A18" s="35" t="s">
        <v>699</v>
      </c>
      <c r="B18" s="4">
        <f t="shared" ref="B18:J18" si="9">0.5*(B7^2)*(B5^2)*B19+(B8-B9)*B5*B13-B8*B11</f>
        <v>0</v>
      </c>
      <c r="C18" s="4">
        <f t="shared" si="9"/>
        <v>0</v>
      </c>
      <c r="D18" s="4">
        <f t="shared" si="9"/>
        <v>0</v>
      </c>
      <c r="E18" s="4">
        <f t="shared" si="9"/>
        <v>0</v>
      </c>
      <c r="F18" s="4">
        <f t="shared" si="9"/>
        <v>0</v>
      </c>
      <c r="G18" s="4">
        <f t="shared" si="9"/>
        <v>0</v>
      </c>
      <c r="H18" s="4">
        <f t="shared" si="9"/>
        <v>0</v>
      </c>
      <c r="I18" s="4">
        <f t="shared" si="9"/>
        <v>0</v>
      </c>
      <c r="J18" s="4">
        <f t="shared" si="9"/>
        <v>0</v>
      </c>
      <c r="K18" s="32" t="s">
        <v>89</v>
      </c>
    </row>
    <row r="19" spans="1:11">
      <c r="A19" t="s">
        <v>194</v>
      </c>
      <c r="B19" s="4">
        <f>B15*B16*(B16-1)*(B5^(B16-2))</f>
        <v>0.66381763171142649</v>
      </c>
      <c r="C19" s="4">
        <f t="shared" ref="C19:J19" si="10">C15*C16*(C16-1)*(C5^(C16-2))</f>
        <v>0.61712079444479317</v>
      </c>
      <c r="D19" s="4">
        <f t="shared" si="10"/>
        <v>0.57433613273927842</v>
      </c>
      <c r="E19" s="4">
        <f t="shared" si="10"/>
        <v>0.53535603945825139</v>
      </c>
      <c r="F19" s="4">
        <f t="shared" si="10"/>
        <v>0.49999999999999989</v>
      </c>
      <c r="G19" s="4">
        <f t="shared" si="10"/>
        <v>0.46803283523512618</v>
      </c>
      <c r="H19" s="4">
        <f t="shared" si="10"/>
        <v>0.4391850292598663</v>
      </c>
      <c r="I19" s="4">
        <f t="shared" si="10"/>
        <v>0.41317178189366754</v>
      </c>
      <c r="J19" s="4">
        <f t="shared" si="10"/>
        <v>0.38970862515027427</v>
      </c>
      <c r="K19" s="32" t="s">
        <v>90</v>
      </c>
    </row>
    <row r="20" spans="1:11">
      <c r="A20" t="s">
        <v>42</v>
      </c>
      <c r="B20" s="4">
        <f>B15*B16*(B14^(B16-1))</f>
        <v>1</v>
      </c>
      <c r="C20" s="4">
        <f t="shared" ref="C20:J20" si="11">C15*C16*(C14^(C16-1))</f>
        <v>0.99999999999999989</v>
      </c>
      <c r="D20" s="4">
        <f t="shared" si="11"/>
        <v>1</v>
      </c>
      <c r="E20" s="4">
        <f t="shared" si="11"/>
        <v>1</v>
      </c>
      <c r="F20" s="4">
        <f t="shared" si="11"/>
        <v>0.99999999999999989</v>
      </c>
      <c r="G20" s="4">
        <f t="shared" si="11"/>
        <v>1</v>
      </c>
      <c r="H20" s="4">
        <f t="shared" si="11"/>
        <v>0.99999999999999989</v>
      </c>
      <c r="I20" s="4">
        <f t="shared" si="11"/>
        <v>0.99999999999999989</v>
      </c>
      <c r="J20" s="4">
        <f t="shared" si="11"/>
        <v>0.99999999999999967</v>
      </c>
      <c r="K20" s="32" t="s">
        <v>91</v>
      </c>
    </row>
    <row r="21" spans="1:11">
      <c r="A21" t="s">
        <v>43</v>
      </c>
      <c r="B21" s="4">
        <f>IF(B5&lt;B14,B15*(B14^B16),B12)</f>
        <v>0.70710678118654768</v>
      </c>
      <c r="C21" s="4">
        <f t="shared" ref="C21:J21" si="12">IF(C5&lt;C14,C15*(C14^C16),C12)</f>
        <v>0.77236354322503442</v>
      </c>
      <c r="D21" s="4">
        <f t="shared" si="12"/>
        <v>0.8430703308172538</v>
      </c>
      <c r="E21" s="4">
        <f t="shared" si="12"/>
        <v>0.91904374441997683</v>
      </c>
      <c r="F21" s="4">
        <f t="shared" si="12"/>
        <v>1</v>
      </c>
      <c r="G21" s="4">
        <f t="shared" si="12"/>
        <v>1.0855823048033115</v>
      </c>
      <c r="H21" s="4">
        <f t="shared" si="12"/>
        <v>1.1753905296791061</v>
      </c>
      <c r="I21" s="4">
        <f t="shared" si="12"/>
        <v>1.2690084184781294</v>
      </c>
      <c r="J21" s="4">
        <f t="shared" si="12"/>
        <v>1.3660254037844388</v>
      </c>
      <c r="K21" s="32" t="s">
        <v>92</v>
      </c>
    </row>
    <row r="22" spans="1:11">
      <c r="A22" t="s">
        <v>102</v>
      </c>
      <c r="B22" s="4">
        <f>B14-B6</f>
        <v>0.70710678118654768</v>
      </c>
      <c r="C22" s="4">
        <f t="shared" ref="C22:J22" si="13">C14-C6</f>
        <v>0.77236354322503442</v>
      </c>
      <c r="D22" s="4">
        <f t="shared" si="13"/>
        <v>0.8430703308172538</v>
      </c>
      <c r="E22" s="4">
        <f t="shared" si="13"/>
        <v>0.91904374441997683</v>
      </c>
      <c r="F22" s="4">
        <f t="shared" si="13"/>
        <v>1</v>
      </c>
      <c r="G22" s="4">
        <f t="shared" si="13"/>
        <v>1.0855823048033115</v>
      </c>
      <c r="H22" s="4">
        <f t="shared" si="13"/>
        <v>1.1753905296791061</v>
      </c>
      <c r="I22" s="4">
        <f t="shared" si="13"/>
        <v>1.2690084184781294</v>
      </c>
      <c r="J22" s="4">
        <f t="shared" si="13"/>
        <v>1.3660254037844388</v>
      </c>
      <c r="K22" s="32" t="s">
        <v>93</v>
      </c>
    </row>
    <row r="24" spans="1:11">
      <c r="A24" t="str">
        <f>A11</f>
        <v>ROV</v>
      </c>
      <c r="B24" s="4">
        <f t="shared" ref="B24:J24" si="14">B11</f>
        <v>0.19442768285708267</v>
      </c>
      <c r="C24" s="4">
        <f t="shared" si="14"/>
        <v>0.2077116735186976</v>
      </c>
      <c r="D24" s="4">
        <f t="shared" si="14"/>
        <v>0.22148883734991726</v>
      </c>
      <c r="E24" s="4">
        <f t="shared" si="14"/>
        <v>0.23562979124734945</v>
      </c>
      <c r="F24" s="4">
        <f t="shared" si="14"/>
        <v>0.25000000000000006</v>
      </c>
      <c r="G24" s="4">
        <f t="shared" si="14"/>
        <v>0.26446883388207576</v>
      </c>
      <c r="H24" s="4">
        <f t="shared" si="14"/>
        <v>0.27891679653772417</v>
      </c>
      <c r="I24" s="4">
        <f t="shared" si="14"/>
        <v>0.29324023055242654</v>
      </c>
      <c r="J24" s="4">
        <f t="shared" si="14"/>
        <v>0.30735350239315212</v>
      </c>
    </row>
    <row r="25" spans="1:11">
      <c r="A25" t="str">
        <f>A13</f>
        <v>ROV D</v>
      </c>
      <c r="B25" s="4">
        <f t="shared" ref="B25:J25" si="15">B13</f>
        <v>0.46938994885434387</v>
      </c>
      <c r="C25" s="4">
        <f t="shared" si="15"/>
        <v>0.47664160339522865</v>
      </c>
      <c r="D25" s="4">
        <f t="shared" si="15"/>
        <v>0.48420575342880573</v>
      </c>
      <c r="E25" s="4">
        <f t="shared" si="15"/>
        <v>0.49201561910156022</v>
      </c>
      <c r="F25" s="4">
        <f t="shared" si="15"/>
        <v>0.5</v>
      </c>
      <c r="G25" s="4">
        <f t="shared" si="15"/>
        <v>0.5080881639981768</v>
      </c>
      <c r="H25" s="4">
        <f t="shared" si="15"/>
        <v>0.51621392416888801</v>
      </c>
      <c r="I25" s="4">
        <f t="shared" si="15"/>
        <v>0.52431846950067373</v>
      </c>
      <c r="J25" s="4">
        <f t="shared" si="15"/>
        <v>0.53235188202918193</v>
      </c>
    </row>
    <row r="26" spans="1:11">
      <c r="A26" t="str">
        <f>A19</f>
        <v>ROV G</v>
      </c>
      <c r="B26" s="4">
        <f t="shared" ref="B26:J26" si="16">B19</f>
        <v>0.66381763171142649</v>
      </c>
      <c r="C26" s="4">
        <f t="shared" si="16"/>
        <v>0.61712079444479317</v>
      </c>
      <c r="D26" s="4">
        <f t="shared" si="16"/>
        <v>0.57433613273927842</v>
      </c>
      <c r="E26" s="4">
        <f t="shared" si="16"/>
        <v>0.53535603945825139</v>
      </c>
      <c r="F26" s="4">
        <f t="shared" si="16"/>
        <v>0.49999999999999989</v>
      </c>
      <c r="G26" s="4">
        <f t="shared" si="16"/>
        <v>0.46803283523512618</v>
      </c>
      <c r="H26" s="4">
        <f t="shared" si="16"/>
        <v>0.4391850292598663</v>
      </c>
      <c r="I26" s="4">
        <f t="shared" si="16"/>
        <v>0.41317178189366754</v>
      </c>
      <c r="J26" s="4">
        <f t="shared" si="16"/>
        <v>0.38970862515027427</v>
      </c>
    </row>
    <row r="49" spans="1:1">
      <c r="A49" t="s">
        <v>20</v>
      </c>
    </row>
    <row r="50" spans="1:1">
      <c r="A50" t="s">
        <v>21</v>
      </c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sqref="A1:C20"/>
    </sheetView>
  </sheetViews>
  <sheetFormatPr defaultRowHeight="12.75"/>
  <cols>
    <col min="2" max="2" width="10.7109375" customWidth="1"/>
    <col min="3" max="3" width="34.42578125" customWidth="1"/>
  </cols>
  <sheetData>
    <row r="1" spans="1:3" ht="15.75">
      <c r="A1" s="33" t="s">
        <v>74</v>
      </c>
    </row>
    <row r="2" spans="1:3">
      <c r="A2" s="96" t="s">
        <v>583</v>
      </c>
    </row>
    <row r="3" spans="1:3">
      <c r="A3" s="17" t="s">
        <v>1</v>
      </c>
      <c r="B3" s="14">
        <v>100</v>
      </c>
    </row>
    <row r="4" spans="1:3">
      <c r="A4" s="17" t="s">
        <v>35</v>
      </c>
      <c r="B4" s="14">
        <v>100</v>
      </c>
    </row>
    <row r="5" spans="1:3">
      <c r="A5" s="16" t="s">
        <v>5</v>
      </c>
      <c r="B5" s="14">
        <v>0.2</v>
      </c>
    </row>
    <row r="6" spans="1:3">
      <c r="A6" s="97" t="s">
        <v>2</v>
      </c>
      <c r="B6" s="14">
        <v>0.04</v>
      </c>
    </row>
    <row r="7" spans="1:3">
      <c r="A7" s="16" t="s">
        <v>710</v>
      </c>
      <c r="B7" s="14">
        <v>0.04</v>
      </c>
    </row>
    <row r="8" spans="1:3">
      <c r="A8" s="97" t="s">
        <v>605</v>
      </c>
      <c r="B8" s="17"/>
    </row>
    <row r="9" spans="1:3">
      <c r="A9" s="17" t="s">
        <v>4</v>
      </c>
      <c r="B9" s="14">
        <f>IF(B3&lt;B12,B13*(B3^B14),B10)</f>
        <v>25.000000000000043</v>
      </c>
      <c r="C9" s="15" t="s">
        <v>76</v>
      </c>
    </row>
    <row r="10" spans="1:3">
      <c r="A10" s="17" t="s">
        <v>39</v>
      </c>
      <c r="B10" s="14">
        <f>B3-B4</f>
        <v>0</v>
      </c>
      <c r="C10" s="15" t="s">
        <v>73</v>
      </c>
    </row>
    <row r="11" spans="1:3">
      <c r="A11" s="17" t="s">
        <v>41</v>
      </c>
      <c r="B11" s="14">
        <f>IF(B3&lt;B12,B13*B14*(B3^(B14-1)),1)</f>
        <v>0.500000000000001</v>
      </c>
      <c r="C11" s="15" t="s">
        <v>77</v>
      </c>
    </row>
    <row r="12" spans="1:3">
      <c r="A12" s="17" t="s">
        <v>566</v>
      </c>
      <c r="B12" s="14">
        <f>(B14/(B14-1))*B4</f>
        <v>200</v>
      </c>
      <c r="C12" s="15" t="s">
        <v>78</v>
      </c>
    </row>
    <row r="13" spans="1:3">
      <c r="A13" s="17" t="s">
        <v>609</v>
      </c>
      <c r="B13" s="5">
        <f>(B12-B4)/(B12^B14)</f>
        <v>2.5000000000000066E-3</v>
      </c>
      <c r="C13" s="15" t="s">
        <v>79</v>
      </c>
    </row>
    <row r="14" spans="1:3" ht="14.25">
      <c r="A14" s="16" t="s">
        <v>196</v>
      </c>
      <c r="B14" s="14">
        <f>0.5-(B6-B7)/(B5^2)+SQRT(((B6-B7)/(B5^2)-0.5)^2 + 2*B6/(B5^2))</f>
        <v>1.9999999999999998</v>
      </c>
      <c r="C14" s="9"/>
    </row>
    <row r="15" spans="1:3" ht="14.25">
      <c r="A15" s="16" t="s">
        <v>196</v>
      </c>
      <c r="B15" s="15" t="s">
        <v>75</v>
      </c>
      <c r="C15" s="9"/>
    </row>
    <row r="16" spans="1:3">
      <c r="A16" t="s">
        <v>699</v>
      </c>
      <c r="B16" s="4">
        <f>0.5*(B5^2)*(B3^2)*B17+(B6-B7)*B3*B11-B6*B9</f>
        <v>0</v>
      </c>
      <c r="C16" s="32" t="s">
        <v>97</v>
      </c>
    </row>
    <row r="17" spans="1:3">
      <c r="A17" t="s">
        <v>40</v>
      </c>
      <c r="B17" s="4">
        <f>IF(B3&lt;B12,B13*B14*(B14-1)*(B3^(B14-2)),0)</f>
        <v>5.0000000000000062E-3</v>
      </c>
      <c r="C17" s="32" t="s">
        <v>98</v>
      </c>
    </row>
    <row r="18" spans="1:3">
      <c r="A18" t="s">
        <v>42</v>
      </c>
      <c r="B18" s="4">
        <f>B13*B14*(B12^(B14-1))</f>
        <v>1.0000000000000011</v>
      </c>
      <c r="C18" s="32" t="s">
        <v>99</v>
      </c>
    </row>
    <row r="19" spans="1:3">
      <c r="A19" t="s">
        <v>43</v>
      </c>
      <c r="B19" s="4">
        <f>IF(B3&lt;B12,B13*(B12^B14),B10)</f>
        <v>100.00000000000001</v>
      </c>
      <c r="C19" s="32" t="s">
        <v>100</v>
      </c>
    </row>
    <row r="20" spans="1:3">
      <c r="A20" t="s">
        <v>102</v>
      </c>
      <c r="B20" s="4">
        <f>B12-B4</f>
        <v>100</v>
      </c>
      <c r="C20" s="32" t="s">
        <v>101</v>
      </c>
    </row>
  </sheetData>
  <phoneticPr fontId="8" type="noConversion"/>
  <printOptions headings="1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34"/>
  <sheetViews>
    <sheetView workbookViewId="0">
      <selection activeCell="C1" sqref="C1"/>
    </sheetView>
  </sheetViews>
  <sheetFormatPr defaultRowHeight="12.75"/>
  <cols>
    <col min="1" max="1" width="13.85546875" bestFit="1" customWidth="1"/>
    <col min="2" max="6" width="9.7109375" customWidth="1"/>
  </cols>
  <sheetData>
    <row r="1" spans="1:6" ht="15.75">
      <c r="B1" s="33" t="s">
        <v>105</v>
      </c>
    </row>
    <row r="2" spans="1:6">
      <c r="A2" s="96" t="s">
        <v>487</v>
      </c>
      <c r="B2">
        <v>2006</v>
      </c>
      <c r="C2">
        <f>B2+1</f>
        <v>2007</v>
      </c>
      <c r="D2">
        <f>C2+1</f>
        <v>2008</v>
      </c>
      <c r="E2">
        <f>D2+1</f>
        <v>2009</v>
      </c>
      <c r="F2">
        <f>E2+1</f>
        <v>2010</v>
      </c>
    </row>
    <row r="3" spans="1:6">
      <c r="A3" s="98" t="s">
        <v>1</v>
      </c>
      <c r="B3" s="99">
        <v>100</v>
      </c>
      <c r="C3" s="99">
        <f>B3*C22</f>
        <v>110.00000000000001</v>
      </c>
      <c r="D3" s="99">
        <f>C3*D22</f>
        <v>99.000000000000014</v>
      </c>
      <c r="E3" s="99">
        <f>D3*E22</f>
        <v>107.91000000000003</v>
      </c>
      <c r="F3" s="99">
        <f>E3*F22</f>
        <v>100.00019700000001</v>
      </c>
    </row>
    <row r="4" spans="1:6">
      <c r="A4" s="17" t="s">
        <v>35</v>
      </c>
      <c r="B4" s="14">
        <v>100</v>
      </c>
      <c r="C4" s="14">
        <f t="shared" ref="C4:F7" si="0">B4</f>
        <v>100</v>
      </c>
      <c r="D4" s="14">
        <f t="shared" si="0"/>
        <v>100</v>
      </c>
      <c r="E4" s="14">
        <f t="shared" si="0"/>
        <v>100</v>
      </c>
      <c r="F4" s="14">
        <f t="shared" si="0"/>
        <v>100</v>
      </c>
    </row>
    <row r="5" spans="1:6">
      <c r="A5" s="16" t="s">
        <v>5</v>
      </c>
      <c r="B5" s="14">
        <v>0.2</v>
      </c>
      <c r="C5" s="14">
        <f t="shared" si="0"/>
        <v>0.2</v>
      </c>
      <c r="D5" s="14">
        <f t="shared" si="0"/>
        <v>0.2</v>
      </c>
      <c r="E5" s="14">
        <f t="shared" si="0"/>
        <v>0.2</v>
      </c>
      <c r="F5" s="14">
        <f t="shared" si="0"/>
        <v>0.2</v>
      </c>
    </row>
    <row r="6" spans="1:6">
      <c r="A6" s="97" t="s">
        <v>2</v>
      </c>
      <c r="B6" s="14">
        <v>0.04</v>
      </c>
      <c r="C6" s="14">
        <f t="shared" si="0"/>
        <v>0.04</v>
      </c>
      <c r="D6" s="14">
        <f t="shared" si="0"/>
        <v>0.04</v>
      </c>
      <c r="E6" s="14">
        <f t="shared" si="0"/>
        <v>0.04</v>
      </c>
      <c r="F6" s="14">
        <f t="shared" si="0"/>
        <v>0.04</v>
      </c>
    </row>
    <row r="7" spans="1:6">
      <c r="A7" s="16" t="s">
        <v>710</v>
      </c>
      <c r="B7" s="14">
        <v>0.04</v>
      </c>
      <c r="C7" s="14">
        <f t="shared" si="0"/>
        <v>0.04</v>
      </c>
      <c r="D7" s="14">
        <f t="shared" si="0"/>
        <v>0.04</v>
      </c>
      <c r="E7" s="14">
        <f t="shared" si="0"/>
        <v>0.04</v>
      </c>
      <c r="F7" s="14">
        <f t="shared" si="0"/>
        <v>0.04</v>
      </c>
    </row>
    <row r="8" spans="1:6">
      <c r="A8" s="97" t="s">
        <v>605</v>
      </c>
      <c r="B8" s="17"/>
      <c r="C8" s="17"/>
      <c r="D8" s="17"/>
      <c r="E8" s="17"/>
      <c r="F8" s="17"/>
    </row>
    <row r="9" spans="1:6">
      <c r="A9" s="17" t="s">
        <v>104</v>
      </c>
      <c r="B9" s="14">
        <f>IF(B3&lt;B17,B18*(B3^B19),B21)</f>
        <v>25.000000000000043</v>
      </c>
      <c r="C9" s="14">
        <f>IF(C3&lt;C17,C18*(C3^C19),C21)</f>
        <v>30.250000000000046</v>
      </c>
      <c r="D9" s="14">
        <f>IF(D3&lt;D17,D18*(D3^D19),D21)</f>
        <v>24.502500000000015</v>
      </c>
      <c r="E9" s="14">
        <f>IF(E3&lt;E17,E18*(E3^E19),E21)</f>
        <v>29.111420250000027</v>
      </c>
      <c r="F9" s="14">
        <f>IF(F3&lt;F17,F18*(F3^F19),F21)</f>
        <v>25.000098500097035</v>
      </c>
    </row>
    <row r="10" spans="1:6">
      <c r="A10" s="17" t="s">
        <v>106</v>
      </c>
      <c r="B10" s="212">
        <f>-B16*B3</f>
        <v>-50.000000000000099</v>
      </c>
      <c r="C10" s="14">
        <f>B10+C11</f>
        <v>-55.500000000000107</v>
      </c>
      <c r="D10" s="14">
        <f t="shared" ref="D10:F10" si="1">C10+D11</f>
        <v>-50.055000000000071</v>
      </c>
      <c r="E10" s="14">
        <f t="shared" si="1"/>
        <v>-54.862390500000089</v>
      </c>
      <c r="F10" s="14">
        <f t="shared" si="1"/>
        <v>-50.907481208844118</v>
      </c>
    </row>
    <row r="11" spans="1:6">
      <c r="A11" s="17" t="s">
        <v>108</v>
      </c>
      <c r="B11" s="14"/>
      <c r="C11" s="14">
        <f>(B16-C16)*C3</f>
        <v>-5.5000000000000053</v>
      </c>
      <c r="D11" s="14">
        <f t="shared" ref="D11:F11" si="2">(C16-D16)*D3</f>
        <v>5.4450000000000331</v>
      </c>
      <c r="E11" s="14">
        <f t="shared" si="2"/>
        <v>-4.8073905000000163</v>
      </c>
      <c r="F11" s="14">
        <f t="shared" si="2"/>
        <v>3.9549092911559742</v>
      </c>
    </row>
    <row r="12" spans="1:6">
      <c r="A12" s="100" t="s">
        <v>207</v>
      </c>
      <c r="C12" s="213">
        <f>-B9+C9</f>
        <v>5.2500000000000036</v>
      </c>
      <c r="D12" s="4">
        <f>-C9+D9</f>
        <v>-5.7475000000000307</v>
      </c>
      <c r="E12" s="4">
        <f>-D9+E9</f>
        <v>4.6089202500000113</v>
      </c>
      <c r="F12" s="4">
        <f>-E9+F9</f>
        <v>-4.1113217499029915</v>
      </c>
    </row>
    <row r="13" spans="1:6">
      <c r="A13" s="100" t="s">
        <v>208</v>
      </c>
      <c r="B13" s="14"/>
      <c r="C13" s="212">
        <f>-(B10/B3)*(-C3+B3)</f>
        <v>-5.0000000000000169</v>
      </c>
      <c r="D13" s="212">
        <f>-(C10/C3)*(-D3+C3)</f>
        <v>5.5500000000000096</v>
      </c>
      <c r="E13" s="212">
        <f>-(D10/D3)*(-E3+D3)</f>
        <v>-4.5049500000000116</v>
      </c>
      <c r="F13" s="212">
        <f>-(E10/E3)*(-F3+E3)</f>
        <v>4.0214132236500113</v>
      </c>
    </row>
    <row r="14" spans="1:6">
      <c r="A14" s="100" t="s">
        <v>209</v>
      </c>
      <c r="C14" s="4">
        <f>C12+C13</f>
        <v>0.24999999999998668</v>
      </c>
      <c r="D14" s="4">
        <f>D12+D13</f>
        <v>-0.1975000000000211</v>
      </c>
      <c r="E14" s="4">
        <f>E12+E13</f>
        <v>0.10397024999999971</v>
      </c>
      <c r="F14" s="4">
        <f>F12+F13</f>
        <v>-8.9908526252980181E-2</v>
      </c>
    </row>
    <row r="15" spans="1:6">
      <c r="A15" s="214" t="s">
        <v>107</v>
      </c>
      <c r="B15" s="24"/>
      <c r="C15" s="24">
        <f>SUM($C$14:C14)</f>
        <v>0.24999999999998668</v>
      </c>
      <c r="D15" s="24">
        <f>SUM($C$14:D14)</f>
        <v>5.2499999999965574E-2</v>
      </c>
      <c r="E15" s="24">
        <f>SUM($C$14:E14)</f>
        <v>0.15647024999996528</v>
      </c>
      <c r="F15" s="24">
        <f>SUM($C$14:F14)</f>
        <v>6.6561723746985102E-2</v>
      </c>
    </row>
    <row r="16" spans="1:6">
      <c r="A16" s="17" t="s">
        <v>41</v>
      </c>
      <c r="B16" s="14">
        <f>IF(B3&lt;B17,B18*B19*(B3^(B19-1)),1)</f>
        <v>0.500000000000001</v>
      </c>
      <c r="C16" s="14">
        <f>IF(C3&lt;C17,C18*C19*(C3^(C19-1)),1)</f>
        <v>0.55000000000000104</v>
      </c>
      <c r="D16" s="14">
        <f>IF(D3&lt;D17,D18*D19*(D3^(D19-1)),1)</f>
        <v>0.49500000000000072</v>
      </c>
      <c r="E16" s="14">
        <f>IF(E3&lt;E17,E18*E19*(E3^(E19-1)),1)</f>
        <v>0.53955000000000086</v>
      </c>
      <c r="F16" s="14">
        <f>IF(F3&lt;F17,F18*F19*(F3^(F19-1)),1)</f>
        <v>0.50000098500000068</v>
      </c>
    </row>
    <row r="17" spans="1:7">
      <c r="A17" s="100" t="s">
        <v>566</v>
      </c>
      <c r="B17" s="14">
        <f>(B19/(B19-1))*B4</f>
        <v>200</v>
      </c>
      <c r="C17" s="14">
        <f>(C19/(C19-1))*C4</f>
        <v>200</v>
      </c>
      <c r="D17" s="14">
        <f>(D19/(D19-1))*D4</f>
        <v>200</v>
      </c>
      <c r="E17" s="14">
        <f>(E19/(E19-1))*E4</f>
        <v>200</v>
      </c>
      <c r="F17" s="14">
        <f>(F19/(F19-1))*F4</f>
        <v>200</v>
      </c>
    </row>
    <row r="18" spans="1:7">
      <c r="A18" s="17" t="s">
        <v>609</v>
      </c>
      <c r="B18" s="5">
        <f>(B17-B4)/(B17^B19)</f>
        <v>2.5000000000000066E-3</v>
      </c>
      <c r="C18" s="5">
        <f>(C17-C4)/(C17^C19)</f>
        <v>2.5000000000000066E-3</v>
      </c>
      <c r="D18" s="5">
        <f>(D17-D4)/(D17^D19)</f>
        <v>2.5000000000000066E-3</v>
      </c>
      <c r="E18" s="5">
        <f>(E17-E4)/(E17^E19)</f>
        <v>2.5000000000000066E-3</v>
      </c>
      <c r="F18" s="5">
        <f>(F17-F4)/(F17^F19)</f>
        <v>2.5000000000000066E-3</v>
      </c>
    </row>
    <row r="19" spans="1:7" ht="14.25">
      <c r="A19" s="16" t="s">
        <v>196</v>
      </c>
      <c r="B19" s="14">
        <f>0.5-(B6-B7)/(B5^2)+SQRT(((B6-B7)/(B5^2)-0.5)^2 + 2*B6/(B5^2))</f>
        <v>1.9999999999999998</v>
      </c>
      <c r="C19" s="14">
        <f>0.5-(C6-C7)/(C5^2)+SQRT(((C6-C7)/(C5^2)-0.5)^2 + 2*C6/(C5^2))</f>
        <v>1.9999999999999998</v>
      </c>
      <c r="D19" s="14">
        <f>0.5-(D6-D7)/(D5^2)+SQRT(((D6-D7)/(D5^2)-0.5)^2 + 2*D6/(D5^2))</f>
        <v>1.9999999999999998</v>
      </c>
      <c r="E19" s="14">
        <f>0.5-(E6-E7)/(E5^2)+SQRT(((E6-E7)/(E5^2)-0.5)^2 + 2*E6/(E5^2))</f>
        <v>1.9999999999999998</v>
      </c>
      <c r="F19" s="14">
        <f>0.5-(F6-F7)/(F5^2)+SQRT(((F6-F7)/(F5^2)-0.5)^2 + 2*F6/(F5^2))</f>
        <v>1.9999999999999998</v>
      </c>
    </row>
    <row r="20" spans="1:7">
      <c r="A20" t="s">
        <v>40</v>
      </c>
      <c r="B20" s="4">
        <f>IF(B3&lt;B17,B18*B19*(B19-1)*(B3^(B19-2)),0)</f>
        <v>5.0000000000000062E-3</v>
      </c>
      <c r="C20" s="4">
        <f>IF(C3&lt;C17,C18*C19*(C19-1)*(C3^(C19-2)),0)</f>
        <v>5.0000000000000062E-3</v>
      </c>
      <c r="D20" s="4">
        <f>IF(D3&lt;D17,D18*D19*(D19-1)*(D3^(D19-2)),0)</f>
        <v>5.0000000000000062E-3</v>
      </c>
      <c r="E20" s="4">
        <f>IF(E3&lt;E17,E18*E19*(E19-1)*(E3^(E19-2)),0)</f>
        <v>5.0000000000000062E-3</v>
      </c>
      <c r="F20" s="4">
        <f>IF(F3&lt;F17,F18*F19*(F19-1)*(F3^(F19-2)),0)</f>
        <v>5.0000000000000062E-3</v>
      </c>
    </row>
    <row r="21" spans="1:7">
      <c r="A21" t="s">
        <v>39</v>
      </c>
      <c r="B21" s="4">
        <f>B3-B4</f>
        <v>0</v>
      </c>
      <c r="C21" s="4">
        <f>C3-C4</f>
        <v>10.000000000000014</v>
      </c>
      <c r="D21" s="4">
        <f>D3-D4</f>
        <v>-0.99999999999998579</v>
      </c>
      <c r="E21" s="4">
        <f>E3-E4</f>
        <v>7.910000000000025</v>
      </c>
      <c r="F21" s="4">
        <f>F3-F4</f>
        <v>1.9700000001421358E-4</v>
      </c>
    </row>
    <row r="22" spans="1:7">
      <c r="A22" t="s">
        <v>210</v>
      </c>
      <c r="C22" s="99">
        <v>1.1000000000000001</v>
      </c>
      <c r="D22" s="99">
        <v>0.9</v>
      </c>
      <c r="E22" s="99">
        <v>1.0900000000000001</v>
      </c>
      <c r="F22" s="99">
        <v>0.92669999999999997</v>
      </c>
    </row>
    <row r="23" spans="1:7">
      <c r="A23" t="str">
        <f t="shared" ref="A23:A28" si="3">A10</f>
        <v>HEDGE</v>
      </c>
      <c r="B23" s="212" t="s">
        <v>211</v>
      </c>
      <c r="C23" s="14" t="s">
        <v>212</v>
      </c>
    </row>
    <row r="24" spans="1:7">
      <c r="A24" t="str">
        <f t="shared" si="3"/>
        <v>ALTER HEDGE</v>
      </c>
      <c r="B24" s="14"/>
      <c r="C24" s="14" t="s">
        <v>109</v>
      </c>
    </row>
    <row r="25" spans="1:7">
      <c r="A25" t="str">
        <f t="shared" si="3"/>
        <v>GAIN ROV</v>
      </c>
      <c r="C25" s="213" t="s">
        <v>213</v>
      </c>
    </row>
    <row r="26" spans="1:7">
      <c r="A26" t="str">
        <f t="shared" si="3"/>
        <v>GAIN V</v>
      </c>
      <c r="B26" s="14"/>
      <c r="C26" s="212" t="s">
        <v>214</v>
      </c>
    </row>
    <row r="27" spans="1:7">
      <c r="A27" t="str">
        <f t="shared" si="3"/>
        <v>NET GAIN</v>
      </c>
      <c r="C27" s="4" t="s">
        <v>215</v>
      </c>
    </row>
    <row r="28" spans="1:7">
      <c r="A28" s="22" t="str">
        <f t="shared" si="3"/>
        <v>CUM GAIN</v>
      </c>
      <c r="B28" s="24"/>
      <c r="C28" s="24" t="s">
        <v>216</v>
      </c>
      <c r="D28" s="22"/>
    </row>
    <row r="30" spans="1:7">
      <c r="A30" t="s">
        <v>217</v>
      </c>
    </row>
    <row r="31" spans="1:7">
      <c r="A31" t="s">
        <v>218</v>
      </c>
    </row>
    <row r="32" spans="1:7">
      <c r="G32" t="s">
        <v>559</v>
      </c>
    </row>
    <row r="33" spans="1:7">
      <c r="A33" t="s">
        <v>219</v>
      </c>
      <c r="C33" s="12">
        <f>C12/$B$9</f>
        <v>0.20999999999999977</v>
      </c>
      <c r="D33" s="12">
        <f>D12/$B$9</f>
        <v>-0.22990000000000083</v>
      </c>
      <c r="E33" s="12">
        <f>E12/$B$9</f>
        <v>0.18435681000000015</v>
      </c>
      <c r="F33" s="12">
        <f>F12/$B$9</f>
        <v>-0.16445286999611938</v>
      </c>
      <c r="G33" s="12">
        <f>STDEV(C33:F33)</f>
        <v>0.22948216331518817</v>
      </c>
    </row>
    <row r="34" spans="1:7">
      <c r="A34" t="s">
        <v>220</v>
      </c>
      <c r="C34" s="12">
        <f>C14/$B$9</f>
        <v>9.9999999999994503E-3</v>
      </c>
      <c r="D34" s="12">
        <f>D14/$B$9</f>
        <v>-7.90000000000083E-3</v>
      </c>
      <c r="E34" s="12">
        <f>E14/$B$9</f>
        <v>4.1588099999999815E-3</v>
      </c>
      <c r="F34" s="12">
        <f>F14/$B$9</f>
        <v>-3.5963410501192012E-3</v>
      </c>
      <c r="G34" s="12">
        <f>STDEV(C34:F34)</f>
        <v>7.9763647596635245E-3</v>
      </c>
    </row>
  </sheetData>
  <phoneticPr fontId="8" type="noConversion"/>
  <printOptions headings="1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50"/>
  <sheetViews>
    <sheetView workbookViewId="0">
      <selection sqref="A1:K46"/>
    </sheetView>
  </sheetViews>
  <sheetFormatPr defaultRowHeight="12.75"/>
  <cols>
    <col min="1" max="1" width="10.42578125" bestFit="1" customWidth="1"/>
    <col min="2" max="11" width="6.5703125" customWidth="1"/>
  </cols>
  <sheetData>
    <row r="1" spans="1:11" ht="15">
      <c r="A1" s="40" t="s">
        <v>1415</v>
      </c>
      <c r="B1" s="40"/>
      <c r="C1" s="40"/>
      <c r="D1" s="40"/>
      <c r="E1" s="40"/>
      <c r="F1" s="40"/>
      <c r="G1" s="40"/>
      <c r="H1" s="40"/>
      <c r="I1" s="40"/>
    </row>
    <row r="2" spans="1:11" ht="15">
      <c r="A2" s="40" t="s">
        <v>583</v>
      </c>
      <c r="B2" s="40"/>
      <c r="C2" s="40"/>
      <c r="D2" s="40"/>
      <c r="E2" s="40"/>
      <c r="F2" s="40"/>
      <c r="G2" s="40"/>
      <c r="H2" s="40"/>
      <c r="I2" s="40"/>
    </row>
    <row r="3" spans="1:11">
      <c r="A3" s="375" t="s">
        <v>1</v>
      </c>
      <c r="B3" s="375">
        <v>18</v>
      </c>
      <c r="C3" s="375">
        <f>B3+0.5</f>
        <v>18.5</v>
      </c>
      <c r="D3" s="375">
        <f t="shared" ref="D3:I3" si="0">C3+0.5</f>
        <v>19</v>
      </c>
      <c r="E3" s="375">
        <f t="shared" si="0"/>
        <v>19.5</v>
      </c>
      <c r="F3" s="375">
        <f t="shared" si="0"/>
        <v>20</v>
      </c>
      <c r="G3" s="375">
        <f t="shared" si="0"/>
        <v>20.5</v>
      </c>
      <c r="H3" s="375">
        <f t="shared" si="0"/>
        <v>21</v>
      </c>
      <c r="I3" s="375">
        <f t="shared" si="0"/>
        <v>21.5</v>
      </c>
      <c r="J3" s="375">
        <f>I3+0.5</f>
        <v>22</v>
      </c>
      <c r="K3" s="375">
        <f>J3+0.5</f>
        <v>22.5</v>
      </c>
    </row>
    <row r="4" spans="1:11">
      <c r="A4" t="s">
        <v>2</v>
      </c>
      <c r="B4" s="4">
        <f>B49</f>
        <v>0.1</v>
      </c>
      <c r="C4" s="4">
        <f>B4</f>
        <v>0.1</v>
      </c>
      <c r="D4" s="4">
        <f t="shared" ref="D4:K5" si="1">C4</f>
        <v>0.1</v>
      </c>
      <c r="E4" s="4">
        <f t="shared" si="1"/>
        <v>0.1</v>
      </c>
      <c r="F4" s="4">
        <f t="shared" si="1"/>
        <v>0.1</v>
      </c>
      <c r="G4" s="4">
        <f t="shared" si="1"/>
        <v>0.1</v>
      </c>
      <c r="H4" s="4">
        <f t="shared" si="1"/>
        <v>0.1</v>
      </c>
      <c r="I4" s="4">
        <f t="shared" si="1"/>
        <v>0.1</v>
      </c>
      <c r="J4" s="4">
        <f t="shared" si="1"/>
        <v>0.1</v>
      </c>
      <c r="K4" s="4">
        <f t="shared" si="1"/>
        <v>0.1</v>
      </c>
    </row>
    <row r="5" spans="1:11">
      <c r="A5" s="2" t="s">
        <v>5</v>
      </c>
      <c r="B5" s="4">
        <f>B50</f>
        <v>0.2</v>
      </c>
      <c r="C5" s="4">
        <f>B5</f>
        <v>0.2</v>
      </c>
      <c r="D5" s="4">
        <f t="shared" si="1"/>
        <v>0.2</v>
      </c>
      <c r="E5" s="4">
        <f t="shared" si="1"/>
        <v>0.2</v>
      </c>
      <c r="F5" s="4">
        <f t="shared" si="1"/>
        <v>0.2</v>
      </c>
      <c r="G5" s="4">
        <f t="shared" si="1"/>
        <v>0.2</v>
      </c>
      <c r="H5" s="4">
        <f t="shared" si="1"/>
        <v>0.2</v>
      </c>
      <c r="I5" s="4">
        <f t="shared" si="1"/>
        <v>0.2</v>
      </c>
      <c r="J5" s="4">
        <f t="shared" si="1"/>
        <v>0.2</v>
      </c>
      <c r="K5" s="4">
        <f t="shared" si="1"/>
        <v>0.2</v>
      </c>
    </row>
    <row r="6" spans="1:11" ht="14.25">
      <c r="A6" s="2" t="s">
        <v>374</v>
      </c>
      <c r="B6">
        <f t="shared" ref="B6:I6" si="2">B5^2</f>
        <v>4.0000000000000008E-2</v>
      </c>
      <c r="C6">
        <f t="shared" si="2"/>
        <v>4.0000000000000008E-2</v>
      </c>
      <c r="D6">
        <f t="shared" si="2"/>
        <v>4.0000000000000008E-2</v>
      </c>
      <c r="E6">
        <f t="shared" si="2"/>
        <v>4.0000000000000008E-2</v>
      </c>
      <c r="F6">
        <f t="shared" si="2"/>
        <v>4.0000000000000008E-2</v>
      </c>
      <c r="G6">
        <f t="shared" si="2"/>
        <v>4.0000000000000008E-2</v>
      </c>
      <c r="H6">
        <f t="shared" si="2"/>
        <v>4.0000000000000008E-2</v>
      </c>
      <c r="I6">
        <f t="shared" si="2"/>
        <v>4.0000000000000008E-2</v>
      </c>
      <c r="J6">
        <f>J5^2</f>
        <v>4.0000000000000008E-2</v>
      </c>
      <c r="K6">
        <f>K5^2</f>
        <v>4.0000000000000008E-2</v>
      </c>
    </row>
    <row r="7" spans="1:11">
      <c r="A7" t="s">
        <v>1417</v>
      </c>
      <c r="B7">
        <f t="shared" ref="B7:B8" si="3">B47</f>
        <v>3.5</v>
      </c>
      <c r="C7">
        <f>B7</f>
        <v>3.5</v>
      </c>
      <c r="D7">
        <f t="shared" ref="D7:K8" si="4">C7</f>
        <v>3.5</v>
      </c>
      <c r="E7">
        <f t="shared" si="4"/>
        <v>3.5</v>
      </c>
      <c r="F7">
        <f t="shared" si="4"/>
        <v>3.5</v>
      </c>
      <c r="G7">
        <f t="shared" si="4"/>
        <v>3.5</v>
      </c>
      <c r="H7">
        <f t="shared" si="4"/>
        <v>3.5</v>
      </c>
      <c r="I7">
        <f t="shared" si="4"/>
        <v>3.5</v>
      </c>
      <c r="J7">
        <f t="shared" si="4"/>
        <v>3.5</v>
      </c>
      <c r="K7">
        <f t="shared" si="4"/>
        <v>3.5</v>
      </c>
    </row>
    <row r="8" spans="1:11">
      <c r="A8" t="s">
        <v>114</v>
      </c>
      <c r="B8">
        <f t="shared" si="3"/>
        <v>20</v>
      </c>
      <c r="C8">
        <f>B8</f>
        <v>20</v>
      </c>
      <c r="D8">
        <f t="shared" si="4"/>
        <v>20</v>
      </c>
      <c r="E8">
        <f t="shared" si="4"/>
        <v>20</v>
      </c>
      <c r="F8">
        <f t="shared" si="4"/>
        <v>20</v>
      </c>
      <c r="G8">
        <f t="shared" si="4"/>
        <v>20</v>
      </c>
      <c r="H8">
        <f t="shared" si="4"/>
        <v>20</v>
      </c>
      <c r="I8">
        <f t="shared" si="4"/>
        <v>20</v>
      </c>
      <c r="J8">
        <f t="shared" si="4"/>
        <v>20</v>
      </c>
      <c r="K8">
        <f t="shared" si="4"/>
        <v>20</v>
      </c>
    </row>
    <row r="9" spans="1:11">
      <c r="A9" s="18" t="s">
        <v>605</v>
      </c>
    </row>
    <row r="10" spans="1:11" ht="15.75">
      <c r="A10" s="35" t="s">
        <v>1448</v>
      </c>
      <c r="B10" s="213">
        <f>-2*B4/B6</f>
        <v>-4.9999999999999991</v>
      </c>
      <c r="C10" s="4">
        <f t="shared" ref="C10:I10" si="5">-2*C4/C6</f>
        <v>-4.9999999999999991</v>
      </c>
      <c r="D10" s="4">
        <f t="shared" si="5"/>
        <v>-4.9999999999999991</v>
      </c>
      <c r="E10" s="4">
        <f t="shared" si="5"/>
        <v>-4.9999999999999991</v>
      </c>
      <c r="F10" s="4">
        <f t="shared" si="5"/>
        <v>-4.9999999999999991</v>
      </c>
      <c r="G10" s="4">
        <f t="shared" si="5"/>
        <v>-4.9999999999999991</v>
      </c>
      <c r="H10" s="4">
        <f t="shared" si="5"/>
        <v>-4.9999999999999991</v>
      </c>
      <c r="I10" s="4">
        <f t="shared" si="5"/>
        <v>-4.9999999999999991</v>
      </c>
      <c r="J10" s="4">
        <f>-2*J4/J6</f>
        <v>-4.9999999999999991</v>
      </c>
      <c r="K10" s="4">
        <f>-2*K4/K6</f>
        <v>-4.9999999999999991</v>
      </c>
    </row>
    <row r="11" spans="1:11">
      <c r="A11" t="s">
        <v>561</v>
      </c>
      <c r="B11" s="4">
        <f>(1-(1-B4*B8/B7)^((B10-1)/B10))^-1</f>
        <v>1.5668236777541955</v>
      </c>
      <c r="C11" s="4">
        <f t="shared" ref="C11:I11" si="6">(1-(1-C4*C8/C7)^((C10-1)/C10))^-1</f>
        <v>1.5668236777541955</v>
      </c>
      <c r="D11" s="4">
        <f t="shared" si="6"/>
        <v>1.5668236777541955</v>
      </c>
      <c r="E11" s="4">
        <f t="shared" si="6"/>
        <v>1.5668236777541955</v>
      </c>
      <c r="F11" s="4">
        <f t="shared" si="6"/>
        <v>1.5668236777541955</v>
      </c>
      <c r="G11" s="4">
        <f t="shared" si="6"/>
        <v>1.5668236777541955</v>
      </c>
      <c r="H11" s="4">
        <f t="shared" si="6"/>
        <v>1.5668236777541955</v>
      </c>
      <c r="I11" s="4">
        <f t="shared" si="6"/>
        <v>1.5668236777541955</v>
      </c>
      <c r="J11" s="4">
        <f>(1-(1-J4*J8/J7)^((J10-1)/J10))^-1</f>
        <v>1.5668236777541955</v>
      </c>
      <c r="K11" s="4">
        <f>(1-(1-K4*K8/K7)^((K10-1)/K10))^-1</f>
        <v>1.5668236777541955</v>
      </c>
    </row>
    <row r="12" spans="1:11">
      <c r="A12" t="s">
        <v>560</v>
      </c>
      <c r="B12" s="379">
        <f>-B11/(B10*B14^(B10-1))</f>
        <v>13039176.249176465</v>
      </c>
      <c r="C12" s="380">
        <f t="shared" ref="C12:I12" si="7">-C11/(C10*C14^(C10-1))</f>
        <v>13039176.249176465</v>
      </c>
      <c r="D12" s="380">
        <f t="shared" si="7"/>
        <v>13039176.249176465</v>
      </c>
      <c r="E12" s="380">
        <f t="shared" si="7"/>
        <v>13039176.249176465</v>
      </c>
      <c r="F12" s="380">
        <f t="shared" si="7"/>
        <v>13039176.249176465</v>
      </c>
      <c r="G12" s="380">
        <f t="shared" si="7"/>
        <v>13039176.249176465</v>
      </c>
      <c r="H12" s="380">
        <f t="shared" si="7"/>
        <v>13039176.249176465</v>
      </c>
      <c r="I12" s="380">
        <f t="shared" si="7"/>
        <v>13039176.249176465</v>
      </c>
      <c r="J12" s="380">
        <f>-J11/(J10*J14^(J10-1))</f>
        <v>13039176.249176465</v>
      </c>
      <c r="K12" s="380">
        <f>-K11/(K10*K14^(K10-1))</f>
        <v>13039176.249176465</v>
      </c>
    </row>
    <row r="13" spans="1:11">
      <c r="A13" s="35" t="s">
        <v>566</v>
      </c>
      <c r="B13" s="4">
        <f>(B10/(B10-1))*(B8-B7/B4)*(1/(1-B11))</f>
        <v>22.052713199148773</v>
      </c>
      <c r="C13" s="4">
        <f t="shared" ref="C13:I13" si="8">(C10/(C10-1))*(C8-C7/C4)*(1/(1-C11))</f>
        <v>22.052713199148773</v>
      </c>
      <c r="D13" s="4">
        <f t="shared" si="8"/>
        <v>22.052713199148773</v>
      </c>
      <c r="E13" s="4">
        <f t="shared" si="8"/>
        <v>22.052713199148773</v>
      </c>
      <c r="F13" s="4">
        <f t="shared" si="8"/>
        <v>22.052713199148773</v>
      </c>
      <c r="G13" s="4">
        <f t="shared" si="8"/>
        <v>22.052713199148773</v>
      </c>
      <c r="H13" s="4">
        <f t="shared" si="8"/>
        <v>22.052713199148773</v>
      </c>
      <c r="I13" s="4">
        <f t="shared" si="8"/>
        <v>22.052713199148773</v>
      </c>
      <c r="J13" s="4">
        <f>(J10/(J10-1))*(J8-J7/J4)*(1/(1-J11))</f>
        <v>22.052713199148773</v>
      </c>
      <c r="K13" s="4">
        <f>(K10/(K10-1))*(K8-K7/K4)*(1/(1-K11))</f>
        <v>22.052713199148773</v>
      </c>
    </row>
    <row r="14" spans="1:11">
      <c r="A14" t="s">
        <v>128</v>
      </c>
      <c r="B14" s="4">
        <f>(B10/(B10-1))*(B7/B4)*(1/B11)</f>
        <v>18.615155668615287</v>
      </c>
      <c r="C14" s="4">
        <f t="shared" ref="C14:I14" si="9">(C10/(C10-1))*(C7/C4)*(1/C11)</f>
        <v>18.615155668615287</v>
      </c>
      <c r="D14" s="4">
        <f t="shared" si="9"/>
        <v>18.615155668615287</v>
      </c>
      <c r="E14" s="4">
        <f t="shared" si="9"/>
        <v>18.615155668615287</v>
      </c>
      <c r="F14" s="4">
        <f t="shared" si="9"/>
        <v>18.615155668615287</v>
      </c>
      <c r="G14" s="4">
        <f t="shared" si="9"/>
        <v>18.615155668615287</v>
      </c>
      <c r="H14" s="4">
        <f t="shared" si="9"/>
        <v>18.615155668615287</v>
      </c>
      <c r="I14" s="4">
        <f t="shared" si="9"/>
        <v>18.615155668615287</v>
      </c>
      <c r="J14" s="4">
        <f>(J10/(J10-1))*(J7/J4)*(1/J11)</f>
        <v>18.615155668615287</v>
      </c>
      <c r="K14" s="4">
        <f>(K10/(K10-1))*(K7/K4)*(1/K11)</f>
        <v>18.615155668615287</v>
      </c>
    </row>
    <row r="15" spans="1:11">
      <c r="A15" s="35" t="s">
        <v>1427</v>
      </c>
      <c r="B15" s="252">
        <f t="shared" ref="B15:K15" si="10">IF(B3&lt;B14,0,(IF(B3&gt;B13,B16,B17)))</f>
        <v>0</v>
      </c>
      <c r="C15" s="3">
        <f t="shared" si="10"/>
        <v>0</v>
      </c>
      <c r="D15" s="3">
        <f t="shared" si="10"/>
        <v>3.5665593654670147E-2</v>
      </c>
      <c r="E15" s="3">
        <f t="shared" si="10"/>
        <v>0.17769285284509095</v>
      </c>
      <c r="F15" s="3">
        <f t="shared" si="10"/>
        <v>0.41121613295156578</v>
      </c>
      <c r="G15" s="3">
        <f t="shared" si="10"/>
        <v>0.72136409231438847</v>
      </c>
      <c r="H15" s="3">
        <f t="shared" si="10"/>
        <v>1.0959646642205527</v>
      </c>
      <c r="I15" s="3">
        <f t="shared" si="10"/>
        <v>1.5250061889334887</v>
      </c>
      <c r="J15" s="3">
        <f t="shared" si="10"/>
        <v>2.0002154631673577</v>
      </c>
      <c r="K15" s="3">
        <f t="shared" si="10"/>
        <v>2.5</v>
      </c>
    </row>
    <row r="16" spans="1:11">
      <c r="A16" s="35" t="s">
        <v>1428</v>
      </c>
      <c r="B16" s="3">
        <f>MAX(B3-B8,0)</f>
        <v>0</v>
      </c>
      <c r="C16" s="3">
        <f t="shared" ref="C16:I16" si="11">MAX(C3-C8,0)</f>
        <v>0</v>
      </c>
      <c r="D16" s="3">
        <f t="shared" si="11"/>
        <v>0</v>
      </c>
      <c r="E16" s="3">
        <f t="shared" si="11"/>
        <v>0</v>
      </c>
      <c r="F16" s="3">
        <f t="shared" si="11"/>
        <v>0</v>
      </c>
      <c r="G16" s="3">
        <f t="shared" si="11"/>
        <v>0.5</v>
      </c>
      <c r="H16" s="3">
        <f t="shared" si="11"/>
        <v>1</v>
      </c>
      <c r="I16" s="3">
        <f t="shared" si="11"/>
        <v>1.5</v>
      </c>
      <c r="J16" s="3">
        <f>MAX(J3-J8,0)</f>
        <v>2</v>
      </c>
      <c r="K16" s="3">
        <f>MAX(K3-K8,0)</f>
        <v>2.5</v>
      </c>
    </row>
    <row r="17" spans="1:11">
      <c r="A17" s="35" t="s">
        <v>104</v>
      </c>
      <c r="B17" s="252" t="s">
        <v>553</v>
      </c>
      <c r="C17" s="252" t="s">
        <v>553</v>
      </c>
      <c r="D17" s="3">
        <f t="shared" ref="D17:I17" si="12">D11*D3+D12*D3^D10-D7/D4</f>
        <v>3.5665593654670147E-2</v>
      </c>
      <c r="E17" s="3">
        <f t="shared" si="12"/>
        <v>0.17769285284509095</v>
      </c>
      <c r="F17" s="3">
        <f t="shared" si="12"/>
        <v>0.41121613295156578</v>
      </c>
      <c r="G17" s="3">
        <f t="shared" si="12"/>
        <v>0.72136409231438847</v>
      </c>
      <c r="H17" s="3">
        <f t="shared" si="12"/>
        <v>1.0959646642205527</v>
      </c>
      <c r="I17" s="3">
        <f t="shared" si="12"/>
        <v>1.5250061889334887</v>
      </c>
      <c r="J17" s="3">
        <f>J11*J3+J12*J3^J10-J7/J4</f>
        <v>2.0002154631673577</v>
      </c>
      <c r="K17" s="252" t="s">
        <v>553</v>
      </c>
    </row>
    <row r="18" spans="1:11" ht="15.75">
      <c r="A18" s="35" t="s">
        <v>1448</v>
      </c>
      <c r="B18" s="82" t="s">
        <v>1418</v>
      </c>
    </row>
    <row r="19" spans="1:11">
      <c r="A19" t="s">
        <v>561</v>
      </c>
      <c r="B19" s="4" t="s">
        <v>1419</v>
      </c>
    </row>
    <row r="20" spans="1:11">
      <c r="A20" t="s">
        <v>560</v>
      </c>
      <c r="B20" s="376" t="s">
        <v>1420</v>
      </c>
    </row>
    <row r="21" spans="1:11">
      <c r="A21" s="35" t="s">
        <v>566</v>
      </c>
      <c r="B21" s="4" t="s">
        <v>1421</v>
      </c>
    </row>
    <row r="22" spans="1:11">
      <c r="A22" t="s">
        <v>128</v>
      </c>
      <c r="B22" s="4" t="s">
        <v>1422</v>
      </c>
    </row>
    <row r="23" spans="1:11">
      <c r="A23" s="35" t="s">
        <v>104</v>
      </c>
      <c r="B23" s="1" t="s">
        <v>1425</v>
      </c>
    </row>
    <row r="24" spans="1:11">
      <c r="A24" t="str">
        <f>A15</f>
        <v>C(V)</v>
      </c>
      <c r="B24" s="127" t="s">
        <v>1426</v>
      </c>
    </row>
    <row r="47" spans="1:2">
      <c r="A47" t="s">
        <v>1417</v>
      </c>
      <c r="B47">
        <v>3.5</v>
      </c>
    </row>
    <row r="48" spans="1:2">
      <c r="A48" t="s">
        <v>114</v>
      </c>
      <c r="B48">
        <v>20</v>
      </c>
    </row>
    <row r="49" spans="1:2">
      <c r="A49" t="s">
        <v>2</v>
      </c>
      <c r="B49">
        <v>0.1</v>
      </c>
    </row>
    <row r="50" spans="1:2">
      <c r="A50" s="2" t="s">
        <v>5</v>
      </c>
      <c r="B50">
        <v>0.2</v>
      </c>
    </row>
  </sheetData>
  <printOptions headings="1"/>
  <pageMargins left="0.7" right="0.7" top="0.75" bottom="0.75" header="0.3" footer="0.3"/>
  <pageSetup orientation="portrait" horizontalDpi="4294967293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44"/>
  <sheetViews>
    <sheetView workbookViewId="0">
      <selection activeCell="A18" sqref="A18"/>
    </sheetView>
  </sheetViews>
  <sheetFormatPr defaultRowHeight="12.75"/>
  <cols>
    <col min="1" max="1" width="10.42578125" bestFit="1" customWidth="1"/>
    <col min="2" max="13" width="8.7109375" customWidth="1"/>
  </cols>
  <sheetData>
    <row r="1" spans="1:13" ht="15">
      <c r="A1" s="40" t="s">
        <v>1415</v>
      </c>
      <c r="B1" s="40"/>
      <c r="C1" s="40"/>
      <c r="D1" s="40"/>
      <c r="E1" s="40"/>
      <c r="F1" s="40"/>
      <c r="G1" s="40"/>
      <c r="H1" s="40"/>
      <c r="I1" s="40"/>
    </row>
    <row r="2" spans="1:13" ht="15">
      <c r="A2" s="40" t="s">
        <v>1416</v>
      </c>
      <c r="B2" s="40"/>
      <c r="C2" s="40"/>
      <c r="D2" s="40"/>
      <c r="E2" s="40"/>
      <c r="F2" s="40"/>
      <c r="G2" s="40"/>
      <c r="H2" s="40"/>
      <c r="I2" s="40"/>
    </row>
    <row r="3" spans="1:13">
      <c r="A3" s="375" t="s">
        <v>1</v>
      </c>
      <c r="B3" s="375">
        <v>20</v>
      </c>
      <c r="C3" s="375">
        <f>B3</f>
        <v>20</v>
      </c>
      <c r="D3" s="375">
        <f t="shared" ref="D3:M3" si="0">C3</f>
        <v>20</v>
      </c>
      <c r="E3" s="375">
        <f t="shared" si="0"/>
        <v>20</v>
      </c>
      <c r="F3" s="375">
        <f t="shared" si="0"/>
        <v>20</v>
      </c>
      <c r="G3" s="375">
        <f t="shared" si="0"/>
        <v>20</v>
      </c>
      <c r="H3" s="375">
        <f t="shared" si="0"/>
        <v>20</v>
      </c>
      <c r="I3" s="375">
        <f t="shared" si="0"/>
        <v>20</v>
      </c>
      <c r="J3" s="375">
        <f t="shared" si="0"/>
        <v>20</v>
      </c>
      <c r="K3" s="375">
        <f t="shared" si="0"/>
        <v>20</v>
      </c>
      <c r="L3" s="375">
        <f t="shared" si="0"/>
        <v>20</v>
      </c>
      <c r="M3" s="375">
        <f t="shared" si="0"/>
        <v>20</v>
      </c>
    </row>
    <row r="4" spans="1:13">
      <c r="A4" t="s">
        <v>2</v>
      </c>
      <c r="B4" s="4">
        <f>B41</f>
        <v>0.1</v>
      </c>
      <c r="C4" s="4">
        <f>B4</f>
        <v>0.1</v>
      </c>
      <c r="D4" s="4">
        <f t="shared" ref="D4:M5" si="1">C4</f>
        <v>0.1</v>
      </c>
      <c r="E4" s="4">
        <f t="shared" si="1"/>
        <v>0.1</v>
      </c>
      <c r="F4" s="4">
        <f t="shared" si="1"/>
        <v>0.1</v>
      </c>
      <c r="G4" s="4">
        <f t="shared" si="1"/>
        <v>0.1</v>
      </c>
      <c r="H4" s="4">
        <f t="shared" si="1"/>
        <v>0.1</v>
      </c>
      <c r="I4" s="4">
        <f t="shared" si="1"/>
        <v>0.1</v>
      </c>
      <c r="J4" s="4">
        <f t="shared" si="1"/>
        <v>0.1</v>
      </c>
      <c r="K4" s="4">
        <f t="shared" si="1"/>
        <v>0.1</v>
      </c>
      <c r="L4" s="4">
        <f t="shared" si="1"/>
        <v>0.1</v>
      </c>
      <c r="M4" s="4">
        <f t="shared" si="1"/>
        <v>0.1</v>
      </c>
    </row>
    <row r="5" spans="1:13">
      <c r="A5" s="2" t="s">
        <v>5</v>
      </c>
      <c r="B5" s="4">
        <v>0.2</v>
      </c>
      <c r="C5" s="4">
        <f>B5</f>
        <v>0.2</v>
      </c>
      <c r="D5" s="4">
        <f t="shared" si="1"/>
        <v>0.2</v>
      </c>
      <c r="E5" s="4">
        <f t="shared" si="1"/>
        <v>0.2</v>
      </c>
      <c r="F5" s="4">
        <f t="shared" si="1"/>
        <v>0.2</v>
      </c>
      <c r="G5" s="4">
        <f t="shared" si="1"/>
        <v>0.2</v>
      </c>
      <c r="H5" s="4">
        <f t="shared" si="1"/>
        <v>0.2</v>
      </c>
      <c r="I5" s="4">
        <f t="shared" si="1"/>
        <v>0.2</v>
      </c>
      <c r="J5" s="4">
        <f t="shared" si="1"/>
        <v>0.2</v>
      </c>
      <c r="K5" s="4">
        <f t="shared" si="1"/>
        <v>0.2</v>
      </c>
      <c r="L5" s="4">
        <f t="shared" si="1"/>
        <v>0.2</v>
      </c>
      <c r="M5" s="4">
        <f t="shared" si="1"/>
        <v>0.2</v>
      </c>
    </row>
    <row r="6" spans="1:13" ht="14.25">
      <c r="A6" s="2" t="s">
        <v>374</v>
      </c>
      <c r="B6" s="4">
        <f t="shared" ref="B6:I6" si="2">B5^2</f>
        <v>4.0000000000000008E-2</v>
      </c>
      <c r="C6" s="4">
        <f t="shared" si="2"/>
        <v>4.0000000000000008E-2</v>
      </c>
      <c r="D6" s="4">
        <f t="shared" si="2"/>
        <v>4.0000000000000008E-2</v>
      </c>
      <c r="E6" s="4">
        <f t="shared" si="2"/>
        <v>4.0000000000000008E-2</v>
      </c>
      <c r="F6" s="4">
        <f t="shared" si="2"/>
        <v>4.0000000000000008E-2</v>
      </c>
      <c r="G6" s="4">
        <f t="shared" si="2"/>
        <v>4.0000000000000008E-2</v>
      </c>
      <c r="H6" s="4">
        <f t="shared" si="2"/>
        <v>4.0000000000000008E-2</v>
      </c>
      <c r="I6" s="4">
        <f t="shared" si="2"/>
        <v>4.0000000000000008E-2</v>
      </c>
      <c r="J6" s="4">
        <f>J5^2</f>
        <v>4.0000000000000008E-2</v>
      </c>
      <c r="K6" s="4">
        <f>K5^2</f>
        <v>4.0000000000000008E-2</v>
      </c>
      <c r="L6" s="4">
        <f>L5^2</f>
        <v>4.0000000000000008E-2</v>
      </c>
      <c r="M6" s="4">
        <f>M5^2</f>
        <v>4.0000000000000008E-2</v>
      </c>
    </row>
    <row r="7" spans="1:13">
      <c r="A7" t="s">
        <v>1417</v>
      </c>
      <c r="B7">
        <f t="shared" ref="B7:B8" si="3">B43</f>
        <v>3.5</v>
      </c>
      <c r="C7">
        <f>B7+0.5</f>
        <v>4</v>
      </c>
      <c r="D7">
        <f t="shared" ref="D7:M7" si="4">C7+0.5</f>
        <v>4.5</v>
      </c>
      <c r="E7">
        <f t="shared" si="4"/>
        <v>5</v>
      </c>
      <c r="F7">
        <f t="shared" si="4"/>
        <v>5.5</v>
      </c>
      <c r="G7">
        <f t="shared" si="4"/>
        <v>6</v>
      </c>
      <c r="H7">
        <f t="shared" si="4"/>
        <v>6.5</v>
      </c>
      <c r="I7">
        <f t="shared" si="4"/>
        <v>7</v>
      </c>
      <c r="J7">
        <f t="shared" si="4"/>
        <v>7.5</v>
      </c>
      <c r="K7">
        <f t="shared" si="4"/>
        <v>8</v>
      </c>
      <c r="L7">
        <f t="shared" si="4"/>
        <v>8.5</v>
      </c>
      <c r="M7">
        <f t="shared" si="4"/>
        <v>9</v>
      </c>
    </row>
    <row r="8" spans="1:13">
      <c r="A8" t="s">
        <v>114</v>
      </c>
      <c r="B8">
        <f t="shared" si="3"/>
        <v>20</v>
      </c>
      <c r="C8">
        <f>B8</f>
        <v>20</v>
      </c>
      <c r="D8">
        <f t="shared" ref="D8:M8" si="5">C8</f>
        <v>20</v>
      </c>
      <c r="E8">
        <f t="shared" si="5"/>
        <v>20</v>
      </c>
      <c r="F8">
        <f t="shared" si="5"/>
        <v>20</v>
      </c>
      <c r="G8">
        <f t="shared" si="5"/>
        <v>20</v>
      </c>
      <c r="H8">
        <f t="shared" si="5"/>
        <v>20</v>
      </c>
      <c r="I8">
        <f t="shared" si="5"/>
        <v>20</v>
      </c>
      <c r="J8">
        <f t="shared" si="5"/>
        <v>20</v>
      </c>
      <c r="K8">
        <f t="shared" si="5"/>
        <v>20</v>
      </c>
      <c r="L8">
        <f t="shared" si="5"/>
        <v>20</v>
      </c>
      <c r="M8">
        <f t="shared" si="5"/>
        <v>20</v>
      </c>
    </row>
    <row r="9" spans="1:13">
      <c r="A9" s="35" t="s">
        <v>553</v>
      </c>
    </row>
    <row r="10" spans="1:13">
      <c r="A10" t="s">
        <v>708</v>
      </c>
      <c r="B10" s="213">
        <f>-2*B4/B6</f>
        <v>-4.9999999999999991</v>
      </c>
      <c r="C10" s="4">
        <f t="shared" ref="C10:I10" si="6">-2*C4/C6</f>
        <v>-4.9999999999999991</v>
      </c>
      <c r="D10" s="4">
        <f t="shared" si="6"/>
        <v>-4.9999999999999991</v>
      </c>
      <c r="E10" s="4">
        <f t="shared" si="6"/>
        <v>-4.9999999999999991</v>
      </c>
      <c r="F10" s="4">
        <f t="shared" si="6"/>
        <v>-4.9999999999999991</v>
      </c>
      <c r="G10" s="4">
        <f t="shared" si="6"/>
        <v>-4.9999999999999991</v>
      </c>
      <c r="H10" s="4">
        <f t="shared" si="6"/>
        <v>-4.9999999999999991</v>
      </c>
      <c r="I10" s="4">
        <f t="shared" si="6"/>
        <v>-4.9999999999999991</v>
      </c>
      <c r="J10" s="4">
        <f>-2*J4/J6</f>
        <v>-4.9999999999999991</v>
      </c>
      <c r="K10" s="4">
        <f>-2*K4/K6</f>
        <v>-4.9999999999999991</v>
      </c>
      <c r="L10" s="4">
        <f>-2*L4/L6</f>
        <v>-4.9999999999999991</v>
      </c>
      <c r="M10" s="4">
        <f>-2*M4/M6</f>
        <v>-4.9999999999999991</v>
      </c>
    </row>
    <row r="11" spans="1:13">
      <c r="A11" t="s">
        <v>561</v>
      </c>
      <c r="B11" s="4">
        <f>(1-(1-B4*B8/B7)^((B10-1)/B10))^-1</f>
        <v>1.5668236777541955</v>
      </c>
      <c r="C11" s="4">
        <f t="shared" ref="C11:I11" si="7">(1-(1-C4*C8/C7)^((C10-1)/C10))^-1</f>
        <v>1.7707742684229333</v>
      </c>
      <c r="D11" s="4">
        <f t="shared" si="7"/>
        <v>1.9760449258174657</v>
      </c>
      <c r="E11" s="4">
        <f t="shared" si="7"/>
        <v>2.1821114776053885</v>
      </c>
      <c r="F11" s="4">
        <f t="shared" si="7"/>
        <v>2.3886969438435144</v>
      </c>
      <c r="G11" s="4">
        <f t="shared" si="7"/>
        <v>2.5956403103666514</v>
      </c>
      <c r="H11" s="4">
        <f t="shared" si="7"/>
        <v>2.8028412804928946</v>
      </c>
      <c r="I11" s="4">
        <f t="shared" si="7"/>
        <v>3.0102339966842577</v>
      </c>
      <c r="J11" s="4">
        <f>(1-(1-J4*J8/J7)^((J10-1)/J10))^-1</f>
        <v>3.2177733723202597</v>
      </c>
      <c r="K11" s="4">
        <f>(1-(1-K4*K8/K7)^((K10-1)/K10))^-1</f>
        <v>3.4254274749844056</v>
      </c>
      <c r="L11" s="4">
        <f>(1-(1-L4*L8/L7)^((L10-1)/L10))^-1</f>
        <v>3.6331730417497177</v>
      </c>
      <c r="M11" s="4">
        <f>(1-(1-M4*M8/M7)^((M10-1)/M10))^-1</f>
        <v>3.8409927166648079</v>
      </c>
    </row>
    <row r="12" spans="1:13">
      <c r="A12" t="s">
        <v>560</v>
      </c>
      <c r="B12" s="379">
        <f>-B11/(B10*B14^(B10-1))</f>
        <v>13039176.249176465</v>
      </c>
      <c r="C12" s="380">
        <f t="shared" ref="C12:I12" si="8">-C11/(C10*C14^(C10-1))</f>
        <v>15757468.760744838</v>
      </c>
      <c r="D12" s="380">
        <f t="shared" si="8"/>
        <v>18460077.981870085</v>
      </c>
      <c r="E12" s="377">
        <f t="shared" si="8"/>
        <v>21153287.751452085</v>
      </c>
      <c r="F12" s="377">
        <f t="shared" si="8"/>
        <v>23840391.709513377</v>
      </c>
      <c r="G12" s="377">
        <f t="shared" si="8"/>
        <v>26523294.712256003</v>
      </c>
      <c r="H12" s="377">
        <f t="shared" si="8"/>
        <v>29203179.188275773</v>
      </c>
      <c r="I12" s="377">
        <f t="shared" si="8"/>
        <v>31880819.635930017</v>
      </c>
      <c r="J12" s="377">
        <f>-J11/(J10*J14^(J10-1))</f>
        <v>34556745.317172624</v>
      </c>
      <c r="K12" s="377">
        <f>-K11/(K10*K14^(K10-1))</f>
        <v>37231330.560469791</v>
      </c>
      <c r="L12" s="377">
        <f>-L11/(L10*L14^(L10-1))</f>
        <v>39904847.771928623</v>
      </c>
      <c r="M12" s="377">
        <f>-M11/(M10*M14^(M10-1))</f>
        <v>42577500.01358752</v>
      </c>
    </row>
    <row r="13" spans="1:13">
      <c r="A13" s="35" t="s">
        <v>566</v>
      </c>
      <c r="B13" s="4">
        <f>(B10/(B10-1))*(B8-B7/B4)*(1/(1-B11))</f>
        <v>22.052713199148773</v>
      </c>
      <c r="C13" s="4">
        <f t="shared" ref="C13:I13" si="9">(C10/(C10-1))*(C8-C7/C4)*(1/(1-C11))</f>
        <v>21.623278499901168</v>
      </c>
      <c r="D13" s="4">
        <f t="shared" si="9"/>
        <v>21.34464590949522</v>
      </c>
      <c r="E13" s="4">
        <f t="shared" si="9"/>
        <v>21.148597635345418</v>
      </c>
      <c r="F13" s="4">
        <f t="shared" si="9"/>
        <v>21.002902610228048</v>
      </c>
      <c r="G13" s="4">
        <f t="shared" si="9"/>
        <v>20.890255226551581</v>
      </c>
      <c r="H13" s="4">
        <f t="shared" si="9"/>
        <v>20.800499969552252</v>
      </c>
      <c r="I13" s="4">
        <f t="shared" si="9"/>
        <v>20.727271917295678</v>
      </c>
      <c r="J13" s="4">
        <f>(J10/(J10-1))*(J8-J7/J4)*(1/(1-J11))</f>
        <v>20.666373717609375</v>
      </c>
      <c r="K13" s="4">
        <f>(K10/(K10-1))*(K8-K7/K4)*(1/(1-K11))</f>
        <v>20.614922736587484</v>
      </c>
      <c r="L13" s="4">
        <f>(L10/(L10-1))*(L8-L7/L4)*(1/(1-L11))</f>
        <v>20.570872406726998</v>
      </c>
      <c r="M13" s="4">
        <f>(M10/(M10-1))*(M8-M7/M4)*(1/(1-M11))</f>
        <v>20.532728926462692</v>
      </c>
    </row>
    <row r="14" spans="1:13">
      <c r="A14" t="s">
        <v>128</v>
      </c>
      <c r="B14" s="4">
        <f>(B10/(B10-1))*(B7/B4)*(1/B11)</f>
        <v>18.615155668615287</v>
      </c>
      <c r="C14" s="4">
        <f t="shared" ref="C14:I14" si="10">(C10/(C10-1))*(C7/C4)*(1/C11)</f>
        <v>18.82415727839793</v>
      </c>
      <c r="D14" s="4">
        <f t="shared" si="10"/>
        <v>18.977301330579163</v>
      </c>
      <c r="E14" s="4">
        <f t="shared" si="10"/>
        <v>19.094655380480813</v>
      </c>
      <c r="F14" s="4">
        <f t="shared" si="10"/>
        <v>19.187588216856657</v>
      </c>
      <c r="G14" s="4">
        <f t="shared" si="10"/>
        <v>19.263069617275733</v>
      </c>
      <c r="H14" s="4">
        <f t="shared" si="10"/>
        <v>19.325627549320654</v>
      </c>
      <c r="I14" s="4">
        <f t="shared" si="10"/>
        <v>19.37833849381374</v>
      </c>
      <c r="J14" s="4">
        <f>(J10/(J10-1))*(J7/J4)*(1/J11)</f>
        <v>19.423369133958843</v>
      </c>
      <c r="K14" s="4">
        <f>(K10/(K10-1))*(K7/K4)*(1/K11)</f>
        <v>19.462291101921565</v>
      </c>
      <c r="L14" s="4">
        <f>(L10/(L10-1))*(L7/L4)*(1/L11)</f>
        <v>19.496272960128636</v>
      </c>
      <c r="M14" s="4">
        <f>(M10/(M10-1))*(M7/M4)*(1/M11)</f>
        <v>19.526202086923934</v>
      </c>
    </row>
    <row r="15" spans="1:13">
      <c r="A15" s="35" t="s">
        <v>1427</v>
      </c>
      <c r="B15" s="127" t="str">
        <f t="shared" ref="B15:M15" si="11">IF(B3&lt;B14,0,(IF(B3&gt;B13,B16,B17)))</f>
        <v xml:space="preserve"> </v>
      </c>
      <c r="C15" s="1" t="str">
        <f t="shared" si="11"/>
        <v xml:space="preserve"> </v>
      </c>
      <c r="D15" s="1">
        <f t="shared" si="11"/>
        <v>0.28967288568372851</v>
      </c>
      <c r="E15" s="1">
        <f t="shared" si="11"/>
        <v>0.25263197443656793</v>
      </c>
      <c r="F15" s="1">
        <f t="shared" si="11"/>
        <v>0.22406128609324583</v>
      </c>
      <c r="G15" s="1">
        <f t="shared" si="11"/>
        <v>0.20133580491305025</v>
      </c>
      <c r="H15" s="1">
        <f t="shared" si="11"/>
        <v>0.18281910619410269</v>
      </c>
      <c r="I15" s="1">
        <f t="shared" si="11"/>
        <v>0.16743606991332172</v>
      </c>
      <c r="J15" s="1">
        <f t="shared" si="11"/>
        <v>0.15445035802167695</v>
      </c>
      <c r="K15" s="1">
        <f t="shared" si="11"/>
        <v>0.14334029983496066</v>
      </c>
      <c r="L15" s="1">
        <f t="shared" si="11"/>
        <v>0.133725763722083</v>
      </c>
      <c r="M15" s="1">
        <f t="shared" si="11"/>
        <v>0.12532308754229859</v>
      </c>
    </row>
    <row r="16" spans="1:13">
      <c r="A16" s="35" t="s">
        <v>1428</v>
      </c>
      <c r="B16">
        <f>MAX(B3-B8,0)</f>
        <v>0</v>
      </c>
      <c r="C16">
        <f t="shared" ref="C16:I16" si="12">MAX(C3-C8,0)</f>
        <v>0</v>
      </c>
      <c r="D16">
        <f t="shared" si="12"/>
        <v>0</v>
      </c>
      <c r="E16">
        <f t="shared" si="12"/>
        <v>0</v>
      </c>
      <c r="F16">
        <f t="shared" si="12"/>
        <v>0</v>
      </c>
      <c r="G16">
        <f t="shared" si="12"/>
        <v>0</v>
      </c>
      <c r="H16">
        <f t="shared" si="12"/>
        <v>0</v>
      </c>
      <c r="I16">
        <f t="shared" si="12"/>
        <v>0</v>
      </c>
      <c r="J16">
        <f>MAX(J3-J8,0)</f>
        <v>0</v>
      </c>
      <c r="K16">
        <f>MAX(K3-K8,0)</f>
        <v>0</v>
      </c>
      <c r="L16">
        <f>MAX(L3-L8,0)</f>
        <v>0</v>
      </c>
      <c r="M16">
        <f>MAX(M3-M8,0)</f>
        <v>0</v>
      </c>
    </row>
    <row r="17" spans="1:13">
      <c r="A17" s="35" t="s">
        <v>104</v>
      </c>
      <c r="B17" s="127" t="s">
        <v>553</v>
      </c>
      <c r="C17" s="127" t="s">
        <v>553</v>
      </c>
      <c r="D17" s="1">
        <f t="shared" ref="D17:I17" si="13">D11*D3+D12*D3^D10-D7/D4</f>
        <v>0.28967288568372851</v>
      </c>
      <c r="E17" s="1">
        <f t="shared" si="13"/>
        <v>0.25263197443656793</v>
      </c>
      <c r="F17" s="1">
        <f t="shared" si="13"/>
        <v>0.22406128609324583</v>
      </c>
      <c r="G17" s="1">
        <f t="shared" si="13"/>
        <v>0.20133580491305025</v>
      </c>
      <c r="H17" s="1">
        <f t="shared" si="13"/>
        <v>0.18281910619410269</v>
      </c>
      <c r="I17" s="1">
        <f t="shared" si="13"/>
        <v>0.16743606991332172</v>
      </c>
      <c r="J17" s="1">
        <f>J11*J3+J12*J3^J10-J7/J4</f>
        <v>0.15445035802167695</v>
      </c>
      <c r="K17" s="1">
        <f>K11*K3+K12*K3^K10-K7/K4</f>
        <v>0.14334029983496066</v>
      </c>
      <c r="L17" s="1">
        <f>L11*L3+L12*L3^L10-L7/L4</f>
        <v>0.133725763722083</v>
      </c>
      <c r="M17" s="1">
        <f>M11*M3+M12*M3^M10-M7/M4</f>
        <v>0.12532308754229859</v>
      </c>
    </row>
    <row r="18" spans="1:13">
      <c r="A18" t="s">
        <v>708</v>
      </c>
      <c r="B18" s="82" t="s">
        <v>1418</v>
      </c>
    </row>
    <row r="19" spans="1:13">
      <c r="A19" t="s">
        <v>561</v>
      </c>
      <c r="B19" s="4" t="s">
        <v>1419</v>
      </c>
    </row>
    <row r="20" spans="1:13">
      <c r="A20" t="s">
        <v>560</v>
      </c>
      <c r="B20" s="376" t="s">
        <v>1420</v>
      </c>
    </row>
    <row r="21" spans="1:13">
      <c r="A21" t="s">
        <v>1409</v>
      </c>
      <c r="B21" s="4" t="s">
        <v>1421</v>
      </c>
    </row>
    <row r="22" spans="1:13">
      <c r="A22" t="s">
        <v>128</v>
      </c>
      <c r="B22" s="4" t="s">
        <v>1422</v>
      </c>
    </row>
    <row r="23" spans="1:13">
      <c r="A23" t="s">
        <v>1423</v>
      </c>
      <c r="B23">
        <f>(B7/B4)-B8</f>
        <v>15</v>
      </c>
    </row>
    <row r="24" spans="1:13">
      <c r="A24" t="s">
        <v>1424</v>
      </c>
      <c r="B24" s="1" t="s">
        <v>1425</v>
      </c>
    </row>
    <row r="25" spans="1:13">
      <c r="A25" t="str">
        <f>A15</f>
        <v>C(V)</v>
      </c>
      <c r="B25" s="127" t="s">
        <v>1426</v>
      </c>
    </row>
    <row r="41" spans="1:2">
      <c r="A41" t="s">
        <v>2</v>
      </c>
      <c r="B41">
        <v>0.1</v>
      </c>
    </row>
    <row r="42" spans="1:2">
      <c r="A42" s="2" t="s">
        <v>5</v>
      </c>
      <c r="B42">
        <v>0.2</v>
      </c>
    </row>
    <row r="43" spans="1:2">
      <c r="A43" t="s">
        <v>1417</v>
      </c>
      <c r="B43">
        <v>3.5</v>
      </c>
    </row>
    <row r="44" spans="1:2">
      <c r="A44" t="s">
        <v>114</v>
      </c>
      <c r="B44">
        <v>20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C29"/>
  <sheetViews>
    <sheetView topLeftCell="A20" workbookViewId="0">
      <selection activeCell="A29" sqref="A1:H29"/>
    </sheetView>
  </sheetViews>
  <sheetFormatPr defaultRowHeight="12.75"/>
  <cols>
    <col min="1" max="1" width="20.7109375" bestFit="1" customWidth="1"/>
    <col min="2" max="2" width="19" bestFit="1" customWidth="1"/>
  </cols>
  <sheetData>
    <row r="1" spans="1:3" ht="15">
      <c r="B1" s="40" t="s">
        <v>1410</v>
      </c>
    </row>
    <row r="2" spans="1:3" ht="15">
      <c r="B2" s="40" t="s">
        <v>1414</v>
      </c>
    </row>
    <row r="3" spans="1:3" ht="14.25">
      <c r="A3" s="166" t="s">
        <v>1411</v>
      </c>
      <c r="B3" s="166">
        <v>60</v>
      </c>
    </row>
    <row r="4" spans="1:3" ht="14.25">
      <c r="A4" s="166" t="s">
        <v>1398</v>
      </c>
      <c r="B4" s="166">
        <v>20</v>
      </c>
    </row>
    <row r="5" spans="1:3" ht="14.25">
      <c r="A5" s="166" t="s">
        <v>1399</v>
      </c>
      <c r="B5" s="373">
        <v>0.2</v>
      </c>
    </row>
    <row r="6" spans="1:3" ht="14.25">
      <c r="A6" s="166" t="s">
        <v>1400</v>
      </c>
      <c r="B6" s="166">
        <f>B5^2</f>
        <v>4.0000000000000008E-2</v>
      </c>
    </row>
    <row r="7" spans="1:3" ht="14.25">
      <c r="A7" s="166" t="s">
        <v>1115</v>
      </c>
      <c r="B7" s="366">
        <v>0.1</v>
      </c>
    </row>
    <row r="8" spans="1:3" ht="15">
      <c r="A8" s="367" t="s">
        <v>1401</v>
      </c>
      <c r="B8" s="367">
        <v>0.62</v>
      </c>
    </row>
    <row r="9" spans="1:3" ht="14.25">
      <c r="A9" s="166" t="s">
        <v>1397</v>
      </c>
      <c r="B9" s="368">
        <v>0.02</v>
      </c>
    </row>
    <row r="10" spans="1:3" ht="14.25">
      <c r="A10" s="166" t="s">
        <v>1412</v>
      </c>
      <c r="B10" s="373">
        <v>0</v>
      </c>
    </row>
    <row r="11" spans="1:3" ht="15">
      <c r="A11" s="166" t="s">
        <v>1402</v>
      </c>
      <c r="B11" s="381">
        <v>0.25</v>
      </c>
    </row>
    <row r="12" spans="1:3" ht="15">
      <c r="A12" s="166" t="s">
        <v>1413</v>
      </c>
      <c r="B12" s="4">
        <v>0.1</v>
      </c>
    </row>
    <row r="13" spans="1:3" ht="14.25">
      <c r="A13" s="166" t="s">
        <v>1136</v>
      </c>
      <c r="B13" s="322">
        <f>0.5-(B7-B9-B10)/B6</f>
        <v>-1.4999999999999996</v>
      </c>
      <c r="C13" s="322" t="s">
        <v>1403</v>
      </c>
    </row>
    <row r="14" spans="1:3" ht="14.25">
      <c r="A14" s="166" t="s">
        <v>1138</v>
      </c>
      <c r="B14" s="322">
        <f>B13^2+2*(B7-B10)/B6</f>
        <v>7.2499999999999982</v>
      </c>
      <c r="C14" s="322" t="s">
        <v>1404</v>
      </c>
    </row>
    <row r="15" spans="1:3" ht="18.75">
      <c r="A15" s="166" t="s">
        <v>1445</v>
      </c>
      <c r="B15" s="322">
        <f>B13+SQRT(B14)</f>
        <v>1.1925824035672523</v>
      </c>
      <c r="C15" s="322" t="s">
        <v>1405</v>
      </c>
    </row>
    <row r="16" spans="1:3" ht="18.75">
      <c r="A16" s="166" t="s">
        <v>1446</v>
      </c>
      <c r="B16" s="322">
        <f>B13-SQRT(B14)</f>
        <v>-4.1925824035672514</v>
      </c>
      <c r="C16" s="322" t="s">
        <v>1406</v>
      </c>
    </row>
    <row r="17" spans="1:3" ht="14.25">
      <c r="A17" s="166" t="s">
        <v>1447</v>
      </c>
      <c r="B17" s="322">
        <f>B8/B7</f>
        <v>6.1999999999999993</v>
      </c>
      <c r="C17" s="322" t="s">
        <v>1407</v>
      </c>
    </row>
    <row r="18" spans="1:3" ht="14.25">
      <c r="A18" s="166" t="s">
        <v>708</v>
      </c>
      <c r="B18" s="374">
        <f>-2*B7/B6</f>
        <v>-4.9999999999999991</v>
      </c>
      <c r="C18" s="369" t="s">
        <v>1408</v>
      </c>
    </row>
    <row r="19" spans="1:3" ht="14.25">
      <c r="A19" s="166" t="s">
        <v>1429</v>
      </c>
      <c r="B19" s="322">
        <f>B20*(1-B11)</f>
        <v>85.460558154535221</v>
      </c>
      <c r="C19" s="322" t="s">
        <v>1430</v>
      </c>
    </row>
    <row r="20" spans="1:3" ht="15">
      <c r="A20" s="166" t="s">
        <v>566</v>
      </c>
      <c r="B20" s="370">
        <v>113.94741087271363</v>
      </c>
      <c r="C20" s="370" t="s">
        <v>553</v>
      </c>
    </row>
    <row r="21" spans="1:3" ht="15">
      <c r="A21" s="166" t="s">
        <v>128</v>
      </c>
      <c r="B21" s="370">
        <v>11.86572132439675</v>
      </c>
      <c r="C21" s="370" t="s">
        <v>553</v>
      </c>
    </row>
    <row r="22" spans="1:3" ht="14.25">
      <c r="A22" s="166" t="s">
        <v>561</v>
      </c>
      <c r="B22" s="322">
        <f>(-B16/(B15-B16))*B17/B21^B15</f>
        <v>0.25263295673986375</v>
      </c>
      <c r="C22" s="322" t="s">
        <v>1431</v>
      </c>
    </row>
    <row r="23" spans="1:3" ht="14.25">
      <c r="A23" s="166" t="s">
        <v>560</v>
      </c>
      <c r="B23" s="371">
        <f>(-B15/B16)*B22*B21^(B15-B16)</f>
        <v>43827.612542746727</v>
      </c>
      <c r="C23" s="371" t="s">
        <v>1432</v>
      </c>
    </row>
    <row r="24" spans="1:3" ht="15">
      <c r="A24" s="367" t="s">
        <v>1427</v>
      </c>
      <c r="B24" s="370">
        <f>B22*(B3^B15)+B23*(B3^B16)-B8/B7</f>
        <v>27.150466555011786</v>
      </c>
      <c r="C24" s="370" t="s">
        <v>1433</v>
      </c>
    </row>
    <row r="25" spans="1:3" ht="15">
      <c r="A25" s="166" t="s">
        <v>1449</v>
      </c>
      <c r="B25" s="370">
        <f>B22*(B3^B15)+B23*(B3^B16)+(B20*B11-B8/B7)*(B3/B20)^(B7/(B12-0.5*(B6)))</f>
        <v>43.347179674306922</v>
      </c>
      <c r="C25" s="372" t="s">
        <v>1434</v>
      </c>
    </row>
    <row r="26" spans="1:3" ht="14.25">
      <c r="A26" s="166" t="s">
        <v>1450</v>
      </c>
      <c r="B26" s="322">
        <f>(-B16/(1-B16))*(B4-B17*(1-(B20/B21)^B15))-B19</f>
        <v>2.8825728293213615E-7</v>
      </c>
      <c r="C26" s="322" t="s">
        <v>1435</v>
      </c>
    </row>
    <row r="27" spans="1:3" ht="14.25">
      <c r="A27" s="166" t="s">
        <v>1451</v>
      </c>
      <c r="B27" s="322">
        <f>(B15/(B15-1))*(B4-B17*(1-(B20/B21)^B16))-B19</f>
        <v>-6.8660747842841374E-7</v>
      </c>
      <c r="C27" s="322" t="s">
        <v>1436</v>
      </c>
    </row>
    <row r="28" spans="1:3" ht="14.25">
      <c r="A28" s="166" t="s">
        <v>50</v>
      </c>
      <c r="B28" s="322">
        <f>ABS(B26)+ABS(B27)</f>
        <v>9.7486476136054989E-7</v>
      </c>
      <c r="C28" s="322" t="s">
        <v>1452</v>
      </c>
    </row>
    <row r="29" spans="1:3" ht="14.25">
      <c r="A29" s="166" t="s">
        <v>1437</v>
      </c>
    </row>
  </sheetData>
  <printOptions headings="1"/>
  <pageMargins left="0.7" right="0.7" top="0.75" bottom="0.75" header="0.3" footer="0.3"/>
  <pageSetup scale="90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C22"/>
  <sheetViews>
    <sheetView workbookViewId="0">
      <selection sqref="A1:C22"/>
    </sheetView>
  </sheetViews>
  <sheetFormatPr defaultRowHeight="12.75"/>
  <cols>
    <col min="3" max="3" width="33" bestFit="1" customWidth="1"/>
  </cols>
  <sheetData>
    <row r="1" spans="1:3" ht="15.75">
      <c r="A1" s="33" t="s">
        <v>122</v>
      </c>
      <c r="B1" s="33"/>
      <c r="C1" s="33"/>
    </row>
    <row r="2" spans="1:3">
      <c r="A2" t="s">
        <v>583</v>
      </c>
      <c r="B2" t="s">
        <v>112</v>
      </c>
    </row>
    <row r="3" spans="1:3">
      <c r="A3" t="s">
        <v>59</v>
      </c>
      <c r="B3" s="4">
        <v>1</v>
      </c>
    </row>
    <row r="4" spans="1:3">
      <c r="A4" t="s">
        <v>113</v>
      </c>
      <c r="B4" s="4">
        <v>2</v>
      </c>
    </row>
    <row r="5" spans="1:3">
      <c r="A5" t="s">
        <v>114</v>
      </c>
      <c r="B5" s="4">
        <f>B3*B4</f>
        <v>2</v>
      </c>
    </row>
    <row r="6" spans="1:3">
      <c r="A6" t="s">
        <v>35</v>
      </c>
      <c r="B6" s="4">
        <v>100</v>
      </c>
    </row>
    <row r="7" spans="1:3">
      <c r="A7" s="2" t="s">
        <v>5</v>
      </c>
      <c r="B7" s="4">
        <v>0.2</v>
      </c>
    </row>
    <row r="8" spans="1:3">
      <c r="A8" s="2" t="s">
        <v>556</v>
      </c>
      <c r="B8" s="4">
        <v>0.2</v>
      </c>
    </row>
    <row r="9" spans="1:3">
      <c r="A9" s="2" t="s">
        <v>2</v>
      </c>
      <c r="B9" s="4">
        <v>-0.5</v>
      </c>
    </row>
    <row r="10" spans="1:3">
      <c r="A10" s="96" t="s">
        <v>2</v>
      </c>
      <c r="B10" s="4">
        <v>0.04</v>
      </c>
    </row>
    <row r="11" spans="1:3">
      <c r="A11" s="2" t="s">
        <v>3</v>
      </c>
      <c r="B11" s="4">
        <v>0.01</v>
      </c>
    </row>
    <row r="12" spans="1:3">
      <c r="A12" s="2" t="s">
        <v>34</v>
      </c>
      <c r="B12" s="4">
        <v>0.01</v>
      </c>
    </row>
    <row r="13" spans="1:3">
      <c r="A13" s="96" t="s">
        <v>605</v>
      </c>
      <c r="B13" s="4"/>
    </row>
    <row r="14" spans="1:3">
      <c r="A14" s="2" t="s">
        <v>115</v>
      </c>
      <c r="B14" s="4">
        <f>B10-B11-B12</f>
        <v>1.9999999999999997E-2</v>
      </c>
      <c r="C14" s="32" t="s">
        <v>118</v>
      </c>
    </row>
    <row r="15" spans="1:3">
      <c r="A15" s="96" t="s">
        <v>1</v>
      </c>
      <c r="B15" s="4">
        <f>B5/B14</f>
        <v>100.00000000000001</v>
      </c>
      <c r="C15" s="32" t="s">
        <v>119</v>
      </c>
    </row>
    <row r="16" spans="1:3">
      <c r="A16" t="s">
        <v>29</v>
      </c>
      <c r="B16" s="4">
        <f>IF(B5&lt;B20,(B6/(B18-1))*((B5/B20)^B18),B17)</f>
        <v>25</v>
      </c>
      <c r="C16" s="32" t="s">
        <v>123</v>
      </c>
    </row>
    <row r="17" spans="1:3">
      <c r="A17" s="96" t="s">
        <v>39</v>
      </c>
      <c r="B17" s="4">
        <f>B15-B6</f>
        <v>0</v>
      </c>
      <c r="C17" s="32" t="s">
        <v>120</v>
      </c>
    </row>
    <row r="18" spans="1:3" ht="14.25">
      <c r="A18" s="2" t="s">
        <v>196</v>
      </c>
      <c r="B18" s="4">
        <f>(1/B19^2)*(-(B9*B7*B8+B11+B12-0.5*(B19^2))+SQRT((B9*B7*B8+B11+B12-0.5*(B19^2))^2+(2*B10)*(B19^2)))</f>
        <v>2</v>
      </c>
      <c r="C18" s="9"/>
    </row>
    <row r="19" spans="1:3">
      <c r="A19" t="s">
        <v>19</v>
      </c>
      <c r="B19" s="4">
        <f>SQRT(B7^2+B8^2+2*B9*B7*B8)</f>
        <v>0.2</v>
      </c>
      <c r="C19" s="32" t="s">
        <v>121</v>
      </c>
    </row>
    <row r="20" spans="1:3">
      <c r="A20" t="s">
        <v>116</v>
      </c>
      <c r="B20" s="4">
        <f>B6*B14*(B18/(B18-1))</f>
        <v>3.9999999999999996</v>
      </c>
      <c r="C20" s="32" t="s">
        <v>125</v>
      </c>
    </row>
    <row r="21" spans="1:3" ht="18">
      <c r="A21" s="2" t="s">
        <v>196</v>
      </c>
      <c r="B21" s="101" t="s">
        <v>124</v>
      </c>
      <c r="C21" s="102"/>
    </row>
    <row r="22" spans="1:3">
      <c r="A22" t="s">
        <v>102</v>
      </c>
      <c r="B22">
        <f>B20/B14-B6</f>
        <v>100</v>
      </c>
      <c r="C22" s="9" t="s">
        <v>126</v>
      </c>
    </row>
  </sheetData>
  <phoneticPr fontId="8" type="noConversion"/>
  <printOptions headings="1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G20"/>
  <sheetViews>
    <sheetView topLeftCell="A13" workbookViewId="0">
      <selection activeCell="J35" sqref="J35"/>
    </sheetView>
  </sheetViews>
  <sheetFormatPr defaultRowHeight="12.75"/>
  <sheetData>
    <row r="1" spans="1:7" ht="15.75">
      <c r="A1" s="33" t="s">
        <v>122</v>
      </c>
      <c r="B1" s="103"/>
      <c r="C1" s="103"/>
      <c r="D1" s="103"/>
      <c r="E1" s="103"/>
      <c r="F1" s="103"/>
      <c r="G1" s="103"/>
    </row>
    <row r="2" spans="1:7">
      <c r="A2" t="s">
        <v>583</v>
      </c>
      <c r="B2" t="s">
        <v>112</v>
      </c>
    </row>
    <row r="3" spans="1:7">
      <c r="A3" t="s">
        <v>59</v>
      </c>
      <c r="B3" s="4">
        <v>1</v>
      </c>
      <c r="C3" s="4">
        <f>B3</f>
        <v>1</v>
      </c>
      <c r="D3" s="4">
        <f>C3</f>
        <v>1</v>
      </c>
      <c r="E3" s="4">
        <f>D3</f>
        <v>1</v>
      </c>
      <c r="F3" s="4">
        <f>E3</f>
        <v>1</v>
      </c>
      <c r="G3" s="4">
        <f>F3</f>
        <v>1</v>
      </c>
    </row>
    <row r="4" spans="1:7">
      <c r="A4" s="22" t="s">
        <v>113</v>
      </c>
      <c r="B4" s="11">
        <v>0</v>
      </c>
      <c r="C4" s="11">
        <f>B4+1</f>
        <v>1</v>
      </c>
      <c r="D4" s="11">
        <f>C4+1</f>
        <v>2</v>
      </c>
      <c r="E4" s="11">
        <f>D4+1</f>
        <v>3</v>
      </c>
      <c r="F4" s="11">
        <f>E4+1</f>
        <v>4</v>
      </c>
      <c r="G4" s="11">
        <f>F4+1</f>
        <v>5</v>
      </c>
    </row>
    <row r="5" spans="1:7">
      <c r="A5" t="s">
        <v>114</v>
      </c>
      <c r="B5" s="4">
        <f t="shared" ref="B5:G5" si="0">B3*B4</f>
        <v>0</v>
      </c>
      <c r="C5" s="4">
        <f t="shared" si="0"/>
        <v>1</v>
      </c>
      <c r="D5" s="4">
        <f t="shared" si="0"/>
        <v>2</v>
      </c>
      <c r="E5" s="4">
        <f t="shared" si="0"/>
        <v>3</v>
      </c>
      <c r="F5" s="4">
        <f t="shared" si="0"/>
        <v>4</v>
      </c>
      <c r="G5" s="4">
        <f t="shared" si="0"/>
        <v>5</v>
      </c>
    </row>
    <row r="6" spans="1:7">
      <c r="A6" t="s">
        <v>35</v>
      </c>
      <c r="B6" s="4">
        <v>100</v>
      </c>
      <c r="C6" s="4">
        <f t="shared" ref="C6:G12" si="1">B6</f>
        <v>100</v>
      </c>
      <c r="D6" s="4">
        <f t="shared" si="1"/>
        <v>100</v>
      </c>
      <c r="E6" s="4">
        <f t="shared" si="1"/>
        <v>100</v>
      </c>
      <c r="F6" s="4">
        <f t="shared" si="1"/>
        <v>100</v>
      </c>
      <c r="G6" s="4">
        <f t="shared" si="1"/>
        <v>100</v>
      </c>
    </row>
    <row r="7" spans="1:7">
      <c r="A7" s="2" t="s">
        <v>556</v>
      </c>
      <c r="B7" s="4">
        <v>0.2</v>
      </c>
      <c r="C7" s="4">
        <f t="shared" si="1"/>
        <v>0.2</v>
      </c>
      <c r="D7" s="4">
        <f t="shared" si="1"/>
        <v>0.2</v>
      </c>
      <c r="E7" s="4">
        <f t="shared" si="1"/>
        <v>0.2</v>
      </c>
      <c r="F7" s="4">
        <f t="shared" si="1"/>
        <v>0.2</v>
      </c>
      <c r="G7" s="4">
        <f t="shared" si="1"/>
        <v>0.2</v>
      </c>
    </row>
    <row r="8" spans="1:7">
      <c r="A8" s="2" t="s">
        <v>5</v>
      </c>
      <c r="B8" s="4">
        <v>0.2</v>
      </c>
      <c r="C8" s="4">
        <f t="shared" si="1"/>
        <v>0.2</v>
      </c>
      <c r="D8" s="4">
        <f t="shared" si="1"/>
        <v>0.2</v>
      </c>
      <c r="E8" s="4">
        <f t="shared" si="1"/>
        <v>0.2</v>
      </c>
      <c r="F8" s="4">
        <f t="shared" si="1"/>
        <v>0.2</v>
      </c>
      <c r="G8" s="4">
        <f t="shared" si="1"/>
        <v>0.2</v>
      </c>
    </row>
    <row r="9" spans="1:7">
      <c r="A9" s="2" t="s">
        <v>2</v>
      </c>
      <c r="B9" s="4">
        <v>-0.5</v>
      </c>
      <c r="C9" s="4">
        <f t="shared" si="1"/>
        <v>-0.5</v>
      </c>
      <c r="D9" s="4">
        <f t="shared" si="1"/>
        <v>-0.5</v>
      </c>
      <c r="E9" s="4">
        <f t="shared" si="1"/>
        <v>-0.5</v>
      </c>
      <c r="F9" s="4">
        <f t="shared" si="1"/>
        <v>-0.5</v>
      </c>
      <c r="G9" s="4">
        <f t="shared" si="1"/>
        <v>-0.5</v>
      </c>
    </row>
    <row r="10" spans="1:7">
      <c r="A10" s="96" t="s">
        <v>2</v>
      </c>
      <c r="B10" s="4">
        <v>0.04</v>
      </c>
      <c r="C10" s="4">
        <f t="shared" si="1"/>
        <v>0.04</v>
      </c>
      <c r="D10" s="4">
        <f t="shared" si="1"/>
        <v>0.04</v>
      </c>
      <c r="E10" s="4">
        <f t="shared" si="1"/>
        <v>0.04</v>
      </c>
      <c r="F10" s="4">
        <f t="shared" si="1"/>
        <v>0.04</v>
      </c>
      <c r="G10" s="4">
        <f t="shared" si="1"/>
        <v>0.04</v>
      </c>
    </row>
    <row r="11" spans="1:7">
      <c r="A11" s="2" t="s">
        <v>3</v>
      </c>
      <c r="B11" s="4">
        <v>0.01</v>
      </c>
      <c r="C11" s="4">
        <f t="shared" si="1"/>
        <v>0.01</v>
      </c>
      <c r="D11" s="4">
        <f t="shared" si="1"/>
        <v>0.01</v>
      </c>
      <c r="E11" s="4">
        <f t="shared" si="1"/>
        <v>0.01</v>
      </c>
      <c r="F11" s="4">
        <f t="shared" si="1"/>
        <v>0.01</v>
      </c>
      <c r="G11" s="4">
        <f t="shared" si="1"/>
        <v>0.01</v>
      </c>
    </row>
    <row r="12" spans="1:7">
      <c r="A12" s="2" t="s">
        <v>34</v>
      </c>
      <c r="B12" s="4">
        <v>0.01</v>
      </c>
      <c r="C12" s="4">
        <f t="shared" si="1"/>
        <v>0.01</v>
      </c>
      <c r="D12" s="4">
        <f t="shared" si="1"/>
        <v>0.01</v>
      </c>
      <c r="E12" s="4">
        <f t="shared" si="1"/>
        <v>0.01</v>
      </c>
      <c r="F12" s="4">
        <f t="shared" si="1"/>
        <v>0.01</v>
      </c>
      <c r="G12" s="4">
        <f t="shared" si="1"/>
        <v>0.01</v>
      </c>
    </row>
    <row r="13" spans="1:7">
      <c r="A13" s="96" t="s">
        <v>605</v>
      </c>
      <c r="B13" s="4"/>
      <c r="C13" s="4"/>
      <c r="D13" s="4"/>
      <c r="E13" s="4"/>
      <c r="F13" s="4"/>
      <c r="G13" s="4"/>
    </row>
    <row r="14" spans="1:7">
      <c r="A14" s="2" t="s">
        <v>115</v>
      </c>
      <c r="B14" s="4">
        <f t="shared" ref="B14:G14" si="2">B10-B11-B12</f>
        <v>1.9999999999999997E-2</v>
      </c>
      <c r="C14" s="4">
        <f t="shared" si="2"/>
        <v>1.9999999999999997E-2</v>
      </c>
      <c r="D14" s="4">
        <f t="shared" si="2"/>
        <v>1.9999999999999997E-2</v>
      </c>
      <c r="E14" s="4">
        <f t="shared" si="2"/>
        <v>1.9999999999999997E-2</v>
      </c>
      <c r="F14" s="4">
        <f t="shared" si="2"/>
        <v>1.9999999999999997E-2</v>
      </c>
      <c r="G14" s="4">
        <f t="shared" si="2"/>
        <v>1.9999999999999997E-2</v>
      </c>
    </row>
    <row r="15" spans="1:7">
      <c r="A15" s="96" t="s">
        <v>1</v>
      </c>
      <c r="B15" s="4">
        <f t="shared" ref="B15:G15" si="3">B5/B14</f>
        <v>0</v>
      </c>
      <c r="C15" s="4">
        <f t="shared" si="3"/>
        <v>50.000000000000007</v>
      </c>
      <c r="D15" s="4">
        <f t="shared" si="3"/>
        <v>100.00000000000001</v>
      </c>
      <c r="E15" s="4">
        <f t="shared" si="3"/>
        <v>150.00000000000003</v>
      </c>
      <c r="F15" s="4">
        <f t="shared" si="3"/>
        <v>200.00000000000003</v>
      </c>
      <c r="G15" s="4">
        <f t="shared" si="3"/>
        <v>250.00000000000003</v>
      </c>
    </row>
    <row r="16" spans="1:7">
      <c r="A16" t="s">
        <v>29</v>
      </c>
      <c r="B16" s="4">
        <f t="shared" ref="B16:G16" si="4">IF(B5&lt;B20,(B6/(B18-1))*((B5/B20)^B18),B17)</f>
        <v>0</v>
      </c>
      <c r="C16" s="4">
        <f t="shared" si="4"/>
        <v>6.25</v>
      </c>
      <c r="D16" s="4">
        <f t="shared" si="4"/>
        <v>25</v>
      </c>
      <c r="E16" s="4">
        <f t="shared" si="4"/>
        <v>56.250000000000021</v>
      </c>
      <c r="F16" s="4">
        <f t="shared" si="4"/>
        <v>100.00000000000003</v>
      </c>
      <c r="G16" s="4">
        <f t="shared" si="4"/>
        <v>150.00000000000003</v>
      </c>
    </row>
    <row r="17" spans="1:7">
      <c r="A17" s="96" t="s">
        <v>39</v>
      </c>
      <c r="B17" s="4">
        <f t="shared" ref="B17:G17" si="5">B15-B6</f>
        <v>-100</v>
      </c>
      <c r="C17" s="4">
        <f t="shared" si="5"/>
        <v>-49.999999999999993</v>
      </c>
      <c r="D17" s="4">
        <f t="shared" si="5"/>
        <v>0</v>
      </c>
      <c r="E17" s="4">
        <f t="shared" si="5"/>
        <v>50.000000000000028</v>
      </c>
      <c r="F17" s="4">
        <f t="shared" si="5"/>
        <v>100.00000000000003</v>
      </c>
      <c r="G17" s="4">
        <f t="shared" si="5"/>
        <v>150.00000000000003</v>
      </c>
    </row>
    <row r="18" spans="1:7" ht="14.25">
      <c r="A18" s="2" t="s">
        <v>196</v>
      </c>
      <c r="B18" s="4">
        <f t="shared" ref="B18:G18" si="6">(1/B19^2)*(-(B9*B7*B8+B11+B12-0.5*(B19^2))+SQRT((B9*B7*B8+B11+B12-0.5*(B19^2))^2+(2*B10)*(B19^2)))</f>
        <v>2</v>
      </c>
      <c r="C18" s="4">
        <f t="shared" si="6"/>
        <v>2</v>
      </c>
      <c r="D18" s="4">
        <f t="shared" si="6"/>
        <v>2</v>
      </c>
      <c r="E18" s="4">
        <f t="shared" si="6"/>
        <v>2</v>
      </c>
      <c r="F18" s="4">
        <f t="shared" si="6"/>
        <v>2</v>
      </c>
      <c r="G18" s="4">
        <f t="shared" si="6"/>
        <v>2</v>
      </c>
    </row>
    <row r="19" spans="1:7">
      <c r="A19" t="s">
        <v>19</v>
      </c>
      <c r="B19" s="4">
        <f t="shared" ref="B19:G19" si="7">SQRT(B7^2+B8^2+2*B9*B7*B8)</f>
        <v>0.2</v>
      </c>
      <c r="C19" s="4">
        <f t="shared" si="7"/>
        <v>0.2</v>
      </c>
      <c r="D19" s="4">
        <f t="shared" si="7"/>
        <v>0.2</v>
      </c>
      <c r="E19" s="4">
        <f t="shared" si="7"/>
        <v>0.2</v>
      </c>
      <c r="F19" s="4">
        <f t="shared" si="7"/>
        <v>0.2</v>
      </c>
      <c r="G19" s="4">
        <f t="shared" si="7"/>
        <v>0.2</v>
      </c>
    </row>
    <row r="20" spans="1:7">
      <c r="A20" t="s">
        <v>116</v>
      </c>
      <c r="B20" s="4">
        <f t="shared" ref="B20:G20" si="8">B6*B14*(B18/(B18-1))</f>
        <v>3.9999999999999996</v>
      </c>
      <c r="C20" s="4">
        <f t="shared" si="8"/>
        <v>3.9999999999999996</v>
      </c>
      <c r="D20" s="4">
        <f t="shared" si="8"/>
        <v>3.9999999999999996</v>
      </c>
      <c r="E20" s="4">
        <f t="shared" si="8"/>
        <v>3.9999999999999996</v>
      </c>
      <c r="F20" s="4">
        <f t="shared" si="8"/>
        <v>3.9999999999999996</v>
      </c>
      <c r="G20" s="4">
        <f t="shared" si="8"/>
        <v>3.9999999999999996</v>
      </c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sqref="A1:J40"/>
    </sheetView>
  </sheetViews>
  <sheetFormatPr defaultRowHeight="12.75"/>
  <sheetData>
    <row r="1" spans="1:10" ht="15.75">
      <c r="A1" s="33" t="s">
        <v>122</v>
      </c>
      <c r="B1" s="103"/>
      <c r="C1" s="103"/>
      <c r="D1" s="103"/>
      <c r="E1" s="103"/>
      <c r="F1" s="103"/>
      <c r="G1" s="103"/>
    </row>
    <row r="2" spans="1:10">
      <c r="A2" t="s">
        <v>583</v>
      </c>
      <c r="B2" t="s">
        <v>112</v>
      </c>
    </row>
    <row r="3" spans="1:10">
      <c r="A3" t="s">
        <v>59</v>
      </c>
      <c r="B3" s="4">
        <v>0.5</v>
      </c>
      <c r="C3" s="4">
        <f>B3</f>
        <v>0.5</v>
      </c>
      <c r="D3" s="4">
        <f t="shared" ref="D3:J4" si="0">C3</f>
        <v>0.5</v>
      </c>
      <c r="E3" s="4">
        <f t="shared" si="0"/>
        <v>0.5</v>
      </c>
      <c r="F3" s="4">
        <f t="shared" si="0"/>
        <v>0.5</v>
      </c>
      <c r="G3" s="4">
        <f t="shared" si="0"/>
        <v>0.5</v>
      </c>
      <c r="H3" s="4">
        <f t="shared" si="0"/>
        <v>0.5</v>
      </c>
      <c r="I3" s="4">
        <f t="shared" si="0"/>
        <v>0.5</v>
      </c>
      <c r="J3" s="4">
        <f t="shared" si="0"/>
        <v>0.5</v>
      </c>
    </row>
    <row r="4" spans="1:10">
      <c r="A4" t="s">
        <v>113</v>
      </c>
      <c r="B4" s="4">
        <v>2</v>
      </c>
      <c r="C4" s="4">
        <f>B4</f>
        <v>2</v>
      </c>
      <c r="D4" s="4">
        <f t="shared" si="0"/>
        <v>2</v>
      </c>
      <c r="E4" s="4">
        <f t="shared" si="0"/>
        <v>2</v>
      </c>
      <c r="F4" s="4">
        <f t="shared" si="0"/>
        <v>2</v>
      </c>
      <c r="G4" s="4">
        <f t="shared" si="0"/>
        <v>2</v>
      </c>
      <c r="H4" s="4">
        <f t="shared" si="0"/>
        <v>2</v>
      </c>
      <c r="I4" s="4">
        <f t="shared" si="0"/>
        <v>2</v>
      </c>
      <c r="J4" s="4">
        <f t="shared" si="0"/>
        <v>2</v>
      </c>
    </row>
    <row r="5" spans="1:10">
      <c r="A5" t="s">
        <v>114</v>
      </c>
      <c r="B5" s="4">
        <f t="shared" ref="B5:J5" si="1">B3*B4</f>
        <v>1</v>
      </c>
      <c r="C5" s="4">
        <f t="shared" si="1"/>
        <v>1</v>
      </c>
      <c r="D5" s="4">
        <f t="shared" si="1"/>
        <v>1</v>
      </c>
      <c r="E5" s="4">
        <f t="shared" si="1"/>
        <v>1</v>
      </c>
      <c r="F5" s="4">
        <f t="shared" si="1"/>
        <v>1</v>
      </c>
      <c r="G5" s="4">
        <f t="shared" si="1"/>
        <v>1</v>
      </c>
      <c r="H5" s="4">
        <f t="shared" si="1"/>
        <v>1</v>
      </c>
      <c r="I5" s="4">
        <f t="shared" si="1"/>
        <v>1</v>
      </c>
      <c r="J5" s="4">
        <f t="shared" si="1"/>
        <v>1</v>
      </c>
    </row>
    <row r="6" spans="1:10">
      <c r="A6" t="s">
        <v>35</v>
      </c>
      <c r="B6" s="4">
        <v>100</v>
      </c>
      <c r="C6" s="4">
        <f t="shared" ref="C6:J8" si="2">B6</f>
        <v>100</v>
      </c>
      <c r="D6" s="4">
        <f t="shared" si="2"/>
        <v>100</v>
      </c>
      <c r="E6" s="4">
        <f t="shared" si="2"/>
        <v>100</v>
      </c>
      <c r="F6" s="4">
        <f t="shared" si="2"/>
        <v>100</v>
      </c>
      <c r="G6" s="4">
        <f t="shared" si="2"/>
        <v>100</v>
      </c>
      <c r="H6" s="4">
        <f t="shared" si="2"/>
        <v>100</v>
      </c>
      <c r="I6" s="4">
        <f t="shared" si="2"/>
        <v>100</v>
      </c>
      <c r="J6" s="4">
        <f t="shared" si="2"/>
        <v>100</v>
      </c>
    </row>
    <row r="7" spans="1:10">
      <c r="A7" s="2" t="s">
        <v>556</v>
      </c>
      <c r="B7" s="4">
        <v>0.2</v>
      </c>
      <c r="C7" s="4">
        <f t="shared" si="2"/>
        <v>0.2</v>
      </c>
      <c r="D7" s="4">
        <f t="shared" si="2"/>
        <v>0.2</v>
      </c>
      <c r="E7" s="4">
        <f t="shared" si="2"/>
        <v>0.2</v>
      </c>
      <c r="F7" s="4">
        <f t="shared" si="2"/>
        <v>0.2</v>
      </c>
      <c r="G7" s="4">
        <f t="shared" si="2"/>
        <v>0.2</v>
      </c>
      <c r="H7" s="4">
        <f t="shared" si="2"/>
        <v>0.2</v>
      </c>
      <c r="I7" s="4">
        <f t="shared" si="2"/>
        <v>0.2</v>
      </c>
      <c r="J7" s="4">
        <f t="shared" si="2"/>
        <v>0.2</v>
      </c>
    </row>
    <row r="8" spans="1:10">
      <c r="A8" s="2" t="s">
        <v>5</v>
      </c>
      <c r="B8" s="4">
        <v>0.2</v>
      </c>
      <c r="C8" s="4">
        <f t="shared" si="2"/>
        <v>0.2</v>
      </c>
      <c r="D8" s="4">
        <f t="shared" si="2"/>
        <v>0.2</v>
      </c>
      <c r="E8" s="4">
        <f t="shared" si="2"/>
        <v>0.2</v>
      </c>
      <c r="F8" s="4">
        <f t="shared" si="2"/>
        <v>0.2</v>
      </c>
      <c r="G8" s="4">
        <f t="shared" si="2"/>
        <v>0.2</v>
      </c>
      <c r="H8" s="4">
        <f t="shared" si="2"/>
        <v>0.2</v>
      </c>
      <c r="I8" s="4">
        <f t="shared" si="2"/>
        <v>0.2</v>
      </c>
      <c r="J8" s="4">
        <f t="shared" si="2"/>
        <v>0.2</v>
      </c>
    </row>
    <row r="9" spans="1:10">
      <c r="A9" s="104" t="s">
        <v>2</v>
      </c>
      <c r="B9" s="11">
        <v>-0.8</v>
      </c>
      <c r="C9" s="105">
        <f t="shared" ref="C9:J9" si="3">B9+0.1</f>
        <v>-0.70000000000000007</v>
      </c>
      <c r="D9" s="105">
        <f t="shared" si="3"/>
        <v>-0.60000000000000009</v>
      </c>
      <c r="E9" s="105">
        <f t="shared" si="3"/>
        <v>-0.50000000000000011</v>
      </c>
      <c r="F9" s="105">
        <f t="shared" si="3"/>
        <v>-0.40000000000000013</v>
      </c>
      <c r="G9" s="105">
        <f t="shared" si="3"/>
        <v>-0.30000000000000016</v>
      </c>
      <c r="H9" s="105">
        <f t="shared" si="3"/>
        <v>-0.20000000000000015</v>
      </c>
      <c r="I9" s="105">
        <f t="shared" si="3"/>
        <v>-0.10000000000000014</v>
      </c>
      <c r="J9" s="105">
        <f t="shared" si="3"/>
        <v>-1.3877787807814457E-16</v>
      </c>
    </row>
    <row r="10" spans="1:10">
      <c r="A10" s="96" t="s">
        <v>2</v>
      </c>
      <c r="B10" s="4">
        <v>0.04</v>
      </c>
      <c r="C10" s="4">
        <f t="shared" ref="C10:J12" si="4">B10</f>
        <v>0.04</v>
      </c>
      <c r="D10" s="4">
        <f t="shared" si="4"/>
        <v>0.04</v>
      </c>
      <c r="E10" s="4">
        <f t="shared" si="4"/>
        <v>0.04</v>
      </c>
      <c r="F10" s="4">
        <f t="shared" si="4"/>
        <v>0.04</v>
      </c>
      <c r="G10" s="4">
        <f t="shared" si="4"/>
        <v>0.04</v>
      </c>
      <c r="H10" s="4">
        <f t="shared" si="4"/>
        <v>0.04</v>
      </c>
      <c r="I10" s="4">
        <f t="shared" si="4"/>
        <v>0.04</v>
      </c>
      <c r="J10" s="4">
        <f t="shared" si="4"/>
        <v>0.04</v>
      </c>
    </row>
    <row r="11" spans="1:10">
      <c r="A11" s="2" t="s">
        <v>3</v>
      </c>
      <c r="B11" s="4">
        <v>0.01</v>
      </c>
      <c r="C11" s="4">
        <f t="shared" si="4"/>
        <v>0.01</v>
      </c>
      <c r="D11" s="4">
        <f t="shared" si="4"/>
        <v>0.01</v>
      </c>
      <c r="E11" s="4">
        <f t="shared" si="4"/>
        <v>0.01</v>
      </c>
      <c r="F11" s="4">
        <f t="shared" si="4"/>
        <v>0.01</v>
      </c>
      <c r="G11" s="4">
        <f t="shared" si="4"/>
        <v>0.01</v>
      </c>
      <c r="H11" s="4">
        <f t="shared" si="4"/>
        <v>0.01</v>
      </c>
      <c r="I11" s="4">
        <f t="shared" si="4"/>
        <v>0.01</v>
      </c>
      <c r="J11" s="4">
        <f t="shared" si="4"/>
        <v>0.01</v>
      </c>
    </row>
    <row r="12" spans="1:10">
      <c r="A12" s="2" t="s">
        <v>34</v>
      </c>
      <c r="B12" s="4">
        <v>0.01</v>
      </c>
      <c r="C12" s="4">
        <f t="shared" si="4"/>
        <v>0.01</v>
      </c>
      <c r="D12" s="4">
        <f t="shared" si="4"/>
        <v>0.01</v>
      </c>
      <c r="E12" s="4">
        <f t="shared" si="4"/>
        <v>0.01</v>
      </c>
      <c r="F12" s="4">
        <f t="shared" si="4"/>
        <v>0.01</v>
      </c>
      <c r="G12" s="4">
        <f t="shared" si="4"/>
        <v>0.01</v>
      </c>
      <c r="H12" s="4">
        <f t="shared" si="4"/>
        <v>0.01</v>
      </c>
      <c r="I12" s="4">
        <f t="shared" si="4"/>
        <v>0.01</v>
      </c>
      <c r="J12" s="4">
        <f t="shared" si="4"/>
        <v>0.01</v>
      </c>
    </row>
    <row r="13" spans="1:10">
      <c r="A13" s="96" t="s">
        <v>605</v>
      </c>
      <c r="B13" s="4"/>
      <c r="C13" s="4"/>
      <c r="D13" s="4"/>
      <c r="E13" s="4"/>
      <c r="F13" s="4"/>
      <c r="G13" s="4"/>
      <c r="H13" s="4"/>
      <c r="I13" s="4"/>
      <c r="J13" s="4"/>
    </row>
    <row r="14" spans="1:10">
      <c r="A14" s="2" t="s">
        <v>115</v>
      </c>
      <c r="B14" s="4">
        <f t="shared" ref="B14:J14" si="5">B10-B11-B12</f>
        <v>1.9999999999999997E-2</v>
      </c>
      <c r="C14" s="4">
        <f t="shared" si="5"/>
        <v>1.9999999999999997E-2</v>
      </c>
      <c r="D14" s="4">
        <f t="shared" si="5"/>
        <v>1.9999999999999997E-2</v>
      </c>
      <c r="E14" s="4">
        <f t="shared" si="5"/>
        <v>1.9999999999999997E-2</v>
      </c>
      <c r="F14" s="4">
        <f t="shared" si="5"/>
        <v>1.9999999999999997E-2</v>
      </c>
      <c r="G14" s="4">
        <f t="shared" si="5"/>
        <v>1.9999999999999997E-2</v>
      </c>
      <c r="H14" s="4">
        <f t="shared" si="5"/>
        <v>1.9999999999999997E-2</v>
      </c>
      <c r="I14" s="4">
        <f t="shared" si="5"/>
        <v>1.9999999999999997E-2</v>
      </c>
      <c r="J14" s="4">
        <f t="shared" si="5"/>
        <v>1.9999999999999997E-2</v>
      </c>
    </row>
    <row r="15" spans="1:10">
      <c r="A15" s="96" t="s">
        <v>1</v>
      </c>
      <c r="B15" s="4">
        <f t="shared" ref="B15:J15" si="6">B5/B14</f>
        <v>50.000000000000007</v>
      </c>
      <c r="C15" s="4">
        <f t="shared" si="6"/>
        <v>50.000000000000007</v>
      </c>
      <c r="D15" s="4">
        <f t="shared" si="6"/>
        <v>50.000000000000007</v>
      </c>
      <c r="E15" s="4">
        <f t="shared" si="6"/>
        <v>50.000000000000007</v>
      </c>
      <c r="F15" s="4">
        <f t="shared" si="6"/>
        <v>50.000000000000007</v>
      </c>
      <c r="G15" s="4">
        <f t="shared" si="6"/>
        <v>50.000000000000007</v>
      </c>
      <c r="H15" s="4">
        <f t="shared" si="6"/>
        <v>50.000000000000007</v>
      </c>
      <c r="I15" s="4">
        <f t="shared" si="6"/>
        <v>50.000000000000007</v>
      </c>
      <c r="J15" s="4">
        <f t="shared" si="6"/>
        <v>50.000000000000007</v>
      </c>
    </row>
    <row r="16" spans="1:10">
      <c r="A16" t="s">
        <v>117</v>
      </c>
      <c r="B16" s="4">
        <f t="shared" ref="B16:J16" si="7">IF(B5&lt;B20,(B6/(B18-1))*((B5/B20)^B18),B17)</f>
        <v>1.147247194506311</v>
      </c>
      <c r="C16" s="4">
        <f t="shared" si="7"/>
        <v>2.8820901599640134</v>
      </c>
      <c r="D16" s="4">
        <f t="shared" si="7"/>
        <v>5.0476622451930249</v>
      </c>
      <c r="E16" s="4">
        <f t="shared" si="7"/>
        <v>7.5215226860275299</v>
      </c>
      <c r="F16" s="4">
        <f t="shared" si="7"/>
        <v>10.259855680060182</v>
      </c>
      <c r="G16" s="4">
        <f t="shared" si="7"/>
        <v>11.358452574243572</v>
      </c>
      <c r="H16" s="4">
        <f t="shared" si="7"/>
        <v>14.279826396707605</v>
      </c>
      <c r="I16" s="4">
        <f t="shared" si="7"/>
        <v>17.473593336331252</v>
      </c>
      <c r="J16" s="4">
        <f t="shared" si="7"/>
        <v>20.985110859228278</v>
      </c>
    </row>
    <row r="17" spans="1:10">
      <c r="A17" s="96" t="s">
        <v>39</v>
      </c>
      <c r="B17" s="4">
        <f t="shared" ref="B17:J17" si="8">B15-B6</f>
        <v>-49.999999999999993</v>
      </c>
      <c r="C17" s="4">
        <f t="shared" si="8"/>
        <v>-49.999999999999993</v>
      </c>
      <c r="D17" s="4">
        <f t="shared" si="8"/>
        <v>-49.999999999999993</v>
      </c>
      <c r="E17" s="4">
        <f t="shared" si="8"/>
        <v>-49.999999999999993</v>
      </c>
      <c r="F17" s="4">
        <f t="shared" si="8"/>
        <v>-49.999999999999993</v>
      </c>
      <c r="G17" s="4">
        <f t="shared" si="8"/>
        <v>-49.999999999999993</v>
      </c>
      <c r="H17" s="4">
        <f t="shared" si="8"/>
        <v>-49.999999999999993</v>
      </c>
      <c r="I17" s="4">
        <f t="shared" si="8"/>
        <v>-49.999999999999993</v>
      </c>
      <c r="J17" s="4">
        <f t="shared" si="8"/>
        <v>-49.999999999999993</v>
      </c>
    </row>
    <row r="18" spans="1:10">
      <c r="A18" s="2" t="s">
        <v>610</v>
      </c>
      <c r="B18" s="4">
        <f>(1/B19^2)*(-(C9*B7*B8+B11+B12-0.5*(B19^2))+SQRT((C9*B7*B8+B11+B12-0.5*(B19^2))^2+(2*B10)*(B19^2)))</f>
        <v>3.4494897427831788</v>
      </c>
      <c r="C18" s="4">
        <f>(1/C19^2)*(-(D9*C7*C8+C11+C12-0.5*(C19^2))+SQRT((D9*C7*C8+C11+C12-0.5*(C19^2))^2+(2*C10)*(C19^2)))</f>
        <v>2.6103172982817671</v>
      </c>
      <c r="D18" s="4">
        <f>(1/D19^2)*(-(E9*D7*D8+D11+D12-0.5*(D19^2))+SQRT((E9*D7*D8+D11+D12-0.5*(D19^2))^2+(2*D10)*(D19^2)))</f>
        <v>2.1583123951777003</v>
      </c>
      <c r="E18" s="4">
        <f>(1/E19^2)*(-(F9*E7*E8+E11+E12-0.5*(E19^2))+SQRT((F9*E7*E8+E11+E12-0.5*(E19^2))^2+(2*E10)*(E19^2)))</f>
        <v>1.869693845669907</v>
      </c>
      <c r="F18" s="4">
        <f>(1/F19^2)*(-(G9*F7*F8+F11+F12-0.5*(F19^2))+SQRT((G9*F7*F8+F11+F12-0.5*(F19^2))^2+(2*F10)*(F19^2)))</f>
        <v>1.666666666666667</v>
      </c>
      <c r="G18" s="4">
        <f>(1/G19^2)*(-(G9*G7*G8+G11+G12-0.5*(G19^2))+SQRT((G9*G7*G8+G11+G12-0.5*(G19^2))^2+(2*G10)*(G19^2)))</f>
        <v>1.6045892283266416</v>
      </c>
      <c r="H18" s="4">
        <f>(1/H19^2)*(-(H9*H7*H8+H11+H12-0.5*(H19^2))+SQRT((H9*H7*H8+H11+H12-0.5*(H19^2))^2+(2*H10)*(H19^2)))</f>
        <v>1.4733859763129198</v>
      </c>
      <c r="I18" s="4">
        <f>(1/I19^2)*(-(I9*I7*I8+I11+I12-0.5*(I19^2))+SQRT((I9*I7*I8+I11+I12-0.5*(I19^2))^2+(2*I10)*(I19^2)))</f>
        <v>1.3678564927971435</v>
      </c>
      <c r="J18" s="4">
        <f>(1/J19^2)*(-(J9*J7*J8+J11+J12-0.5*(J19^2))+SQRT((J9*J7*J8+J11+J12-0.5*(J19^2))^2+(2*J10)*(J19^2)))</f>
        <v>1.2807764064044154</v>
      </c>
    </row>
    <row r="19" spans="1:10">
      <c r="A19" t="s">
        <v>19</v>
      </c>
      <c r="B19" s="3">
        <f t="shared" ref="B19:J19" si="9">SQRT(B7^2+B8^2+2*B9*B7*B8)</f>
        <v>0.12649110640673517</v>
      </c>
      <c r="C19" s="3">
        <f t="shared" si="9"/>
        <v>0.1549193338482967</v>
      </c>
      <c r="D19" s="3">
        <f t="shared" si="9"/>
        <v>0.17888543819998318</v>
      </c>
      <c r="E19" s="3">
        <f t="shared" si="9"/>
        <v>0.2</v>
      </c>
      <c r="F19" s="3">
        <f t="shared" si="9"/>
        <v>0.21908902300206645</v>
      </c>
      <c r="G19" s="3">
        <f t="shared" si="9"/>
        <v>0.23664319132398465</v>
      </c>
      <c r="H19" s="3">
        <f t="shared" si="9"/>
        <v>0.25298221281347033</v>
      </c>
      <c r="I19" s="3">
        <f t="shared" si="9"/>
        <v>0.26832815729997478</v>
      </c>
      <c r="J19" s="3">
        <f t="shared" si="9"/>
        <v>0.28284271247461901</v>
      </c>
    </row>
    <row r="20" spans="1:10">
      <c r="A20" t="s">
        <v>116</v>
      </c>
      <c r="B20" s="4">
        <f t="shared" ref="B20:J20" si="10">B6*B14*(B18/(B18-1))</f>
        <v>2.8164965809277254</v>
      </c>
      <c r="C20" s="4">
        <f t="shared" si="10"/>
        <v>3.2419912536082358</v>
      </c>
      <c r="D20" s="4">
        <f t="shared" si="10"/>
        <v>3.7266499161421587</v>
      </c>
      <c r="E20" s="4">
        <f t="shared" si="10"/>
        <v>4.2996598285221177</v>
      </c>
      <c r="F20" s="4">
        <f t="shared" si="10"/>
        <v>4.9999999999999973</v>
      </c>
      <c r="G20" s="4">
        <f t="shared" si="10"/>
        <v>5.3080311495716206</v>
      </c>
      <c r="H20" s="4">
        <f t="shared" si="10"/>
        <v>6.2248822315723826</v>
      </c>
      <c r="I20" s="4">
        <f t="shared" si="10"/>
        <v>7.4369028117247638</v>
      </c>
      <c r="J20" s="4">
        <f t="shared" si="10"/>
        <v>9.1231056256176526</v>
      </c>
    </row>
    <row r="21" spans="1:10">
      <c r="A21" t="str">
        <f>A16</f>
        <v>P(P,Q)</v>
      </c>
      <c r="B21" s="4">
        <f t="shared" ref="B21:J21" si="11">B16</f>
        <v>1.147247194506311</v>
      </c>
      <c r="C21" s="4">
        <f t="shared" si="11"/>
        <v>2.8820901599640134</v>
      </c>
      <c r="D21" s="4">
        <f t="shared" si="11"/>
        <v>5.0476622451930249</v>
      </c>
      <c r="E21" s="4">
        <f t="shared" si="11"/>
        <v>7.5215226860275299</v>
      </c>
      <c r="F21" s="4">
        <f t="shared" si="11"/>
        <v>10.259855680060182</v>
      </c>
      <c r="G21" s="4">
        <f t="shared" si="11"/>
        <v>11.358452574243572</v>
      </c>
      <c r="H21" s="4">
        <f t="shared" si="11"/>
        <v>14.279826396707605</v>
      </c>
      <c r="I21" s="4">
        <f t="shared" si="11"/>
        <v>17.473593336331252</v>
      </c>
      <c r="J21" s="4">
        <f t="shared" si="11"/>
        <v>20.985110859228278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sqref="A1:C17"/>
    </sheetView>
  </sheetViews>
  <sheetFormatPr defaultRowHeight="12.75"/>
  <cols>
    <col min="3" max="3" width="40" bestFit="1" customWidth="1"/>
  </cols>
  <sheetData>
    <row r="1" spans="1:3" ht="15.75">
      <c r="B1" s="33" t="s">
        <v>72</v>
      </c>
    </row>
    <row r="2" spans="1:3">
      <c r="A2" s="96" t="s">
        <v>583</v>
      </c>
      <c r="B2" t="s">
        <v>553</v>
      </c>
    </row>
    <row r="3" spans="1:3">
      <c r="A3" t="s">
        <v>1</v>
      </c>
      <c r="B3" s="7">
        <v>100</v>
      </c>
    </row>
    <row r="4" spans="1:3">
      <c r="A4" t="s">
        <v>35</v>
      </c>
      <c r="B4" s="7">
        <v>100</v>
      </c>
    </row>
    <row r="5" spans="1:3" ht="14.25">
      <c r="A5" s="2" t="s">
        <v>197</v>
      </c>
      <c r="B5" s="4">
        <v>0.2</v>
      </c>
    </row>
    <row r="6" spans="1:3">
      <c r="A6" s="2" t="s">
        <v>36</v>
      </c>
      <c r="B6" s="4">
        <v>0.2</v>
      </c>
    </row>
    <row r="7" spans="1:3" ht="14.25">
      <c r="A7" s="2" t="s">
        <v>198</v>
      </c>
      <c r="B7">
        <v>0.04</v>
      </c>
    </row>
    <row r="8" spans="1:3">
      <c r="A8" s="2" t="s">
        <v>37</v>
      </c>
      <c r="B8">
        <v>0.04</v>
      </c>
    </row>
    <row r="9" spans="1:3">
      <c r="A9" s="2" t="s">
        <v>2</v>
      </c>
      <c r="B9">
        <v>0.5</v>
      </c>
    </row>
    <row r="10" spans="1:3">
      <c r="A10" s="96" t="s">
        <v>605</v>
      </c>
    </row>
    <row r="11" spans="1:3">
      <c r="A11" t="s">
        <v>38</v>
      </c>
      <c r="B11" s="4">
        <f>IF(B17&lt;B16,B4*B13*(B17^B14),B12)</f>
        <v>25.000000000000007</v>
      </c>
      <c r="C11" s="32" t="s">
        <v>199</v>
      </c>
    </row>
    <row r="12" spans="1:3">
      <c r="A12" s="96" t="s">
        <v>39</v>
      </c>
      <c r="B12" s="4">
        <f>B3-B4</f>
        <v>0</v>
      </c>
      <c r="C12" s="32" t="s">
        <v>73</v>
      </c>
    </row>
    <row r="13" spans="1:3">
      <c r="A13" t="s">
        <v>609</v>
      </c>
      <c r="B13" s="4">
        <f>(B16-1)/(B16^B14)</f>
        <v>0.25000000000000006</v>
      </c>
      <c r="C13" s="32" t="s">
        <v>200</v>
      </c>
    </row>
    <row r="14" spans="1:3">
      <c r="A14" s="2" t="s">
        <v>610</v>
      </c>
      <c r="B14" s="4">
        <f>0.5-(B8-B7)/(B15^2)+SQRT(((B8-B7)/(B15^2)-0.5)^2 + (2*B8)/(B15^2))</f>
        <v>1.9999999999999998</v>
      </c>
      <c r="C14" s="106" t="s">
        <v>201</v>
      </c>
    </row>
    <row r="15" spans="1:3">
      <c r="A15" s="2" t="s">
        <v>569</v>
      </c>
      <c r="B15" s="3">
        <f>SQRT(B5^2+B6^2-2*B9*B5*B6)</f>
        <v>0.2</v>
      </c>
      <c r="C15" s="10" t="s">
        <v>202</v>
      </c>
    </row>
    <row r="16" spans="1:3">
      <c r="A16" t="s">
        <v>127</v>
      </c>
      <c r="B16" s="3">
        <f>(B14/(B14-1))</f>
        <v>2</v>
      </c>
      <c r="C16" s="10" t="s">
        <v>203</v>
      </c>
    </row>
    <row r="17" spans="1:3">
      <c r="A17" s="96" t="s">
        <v>128</v>
      </c>
      <c r="B17" s="107">
        <f>B3/B4</f>
        <v>1</v>
      </c>
      <c r="C17" s="108" t="s">
        <v>191</v>
      </c>
    </row>
  </sheetData>
  <phoneticPr fontId="8" type="noConversion"/>
  <pageMargins left="0.75" right="0.75" top="1" bottom="1" header="0.5" footer="0.5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sqref="A1:J43"/>
    </sheetView>
  </sheetViews>
  <sheetFormatPr defaultRowHeight="12.75"/>
  <sheetData>
    <row r="1" spans="1:10" ht="15.75">
      <c r="B1" s="33" t="s">
        <v>72</v>
      </c>
    </row>
    <row r="2" spans="1:10">
      <c r="A2" s="96" t="s">
        <v>583</v>
      </c>
      <c r="B2" t="s">
        <v>553</v>
      </c>
    </row>
    <row r="3" spans="1:10">
      <c r="A3" t="s">
        <v>1</v>
      </c>
      <c r="B3" s="4">
        <v>10</v>
      </c>
      <c r="C3" s="4">
        <f>B3</f>
        <v>10</v>
      </c>
      <c r="D3" s="4">
        <f t="shared" ref="D3:J4" si="0">C3</f>
        <v>10</v>
      </c>
      <c r="E3" s="4">
        <f t="shared" si="0"/>
        <v>10</v>
      </c>
      <c r="F3" s="4">
        <f t="shared" si="0"/>
        <v>10</v>
      </c>
      <c r="G3" s="4">
        <f t="shared" si="0"/>
        <v>10</v>
      </c>
      <c r="H3" s="4">
        <f t="shared" si="0"/>
        <v>10</v>
      </c>
      <c r="I3" s="4">
        <f t="shared" si="0"/>
        <v>10</v>
      </c>
      <c r="J3" s="4">
        <f t="shared" si="0"/>
        <v>10</v>
      </c>
    </row>
    <row r="4" spans="1:10">
      <c r="A4" t="s">
        <v>35</v>
      </c>
      <c r="B4" s="4">
        <v>10</v>
      </c>
      <c r="C4" s="4">
        <f>B4</f>
        <v>10</v>
      </c>
      <c r="D4" s="4">
        <f t="shared" si="0"/>
        <v>10</v>
      </c>
      <c r="E4" s="4">
        <f t="shared" si="0"/>
        <v>10</v>
      </c>
      <c r="F4" s="4">
        <f t="shared" si="0"/>
        <v>10</v>
      </c>
      <c r="G4" s="4">
        <f t="shared" si="0"/>
        <v>10</v>
      </c>
      <c r="H4" s="4">
        <f t="shared" si="0"/>
        <v>10</v>
      </c>
      <c r="I4" s="4">
        <f t="shared" si="0"/>
        <v>10</v>
      </c>
      <c r="J4" s="4">
        <f t="shared" si="0"/>
        <v>10</v>
      </c>
    </row>
    <row r="5" spans="1:10" ht="14.25">
      <c r="A5" s="2" t="s">
        <v>197</v>
      </c>
      <c r="B5" s="4">
        <v>0.2</v>
      </c>
      <c r="C5" s="4">
        <v>0.2</v>
      </c>
      <c r="D5" s="4">
        <v>0.2</v>
      </c>
      <c r="E5" s="4">
        <v>0.2</v>
      </c>
      <c r="F5" s="4">
        <v>0.2</v>
      </c>
      <c r="G5" s="4">
        <v>0.2</v>
      </c>
      <c r="H5" s="4">
        <v>0.2</v>
      </c>
      <c r="I5" s="4">
        <v>0.2</v>
      </c>
      <c r="J5" s="4">
        <v>0.2</v>
      </c>
    </row>
    <row r="6" spans="1:10">
      <c r="A6" s="2" t="s">
        <v>36</v>
      </c>
      <c r="B6" s="4">
        <v>0.2</v>
      </c>
      <c r="C6" s="4">
        <v>0.2</v>
      </c>
      <c r="D6" s="4">
        <v>0.2</v>
      </c>
      <c r="E6" s="4">
        <v>0.2</v>
      </c>
      <c r="F6" s="4">
        <v>0.2</v>
      </c>
      <c r="G6" s="4">
        <v>0.2</v>
      </c>
      <c r="H6" s="4">
        <v>0.2</v>
      </c>
      <c r="I6" s="4">
        <v>0.2</v>
      </c>
      <c r="J6" s="4">
        <v>0.2</v>
      </c>
    </row>
    <row r="7" spans="1:10" ht="14.25">
      <c r="A7" s="2" t="s">
        <v>198</v>
      </c>
      <c r="B7">
        <v>0.04</v>
      </c>
      <c r="C7">
        <v>0.04</v>
      </c>
      <c r="D7">
        <v>0.04</v>
      </c>
      <c r="E7">
        <v>0.04</v>
      </c>
      <c r="F7">
        <v>0.04</v>
      </c>
      <c r="G7">
        <v>0.04</v>
      </c>
      <c r="H7">
        <v>0.04</v>
      </c>
      <c r="I7">
        <v>0.04</v>
      </c>
      <c r="J7">
        <v>0.04</v>
      </c>
    </row>
    <row r="8" spans="1:10">
      <c r="A8" s="2" t="s">
        <v>37</v>
      </c>
      <c r="B8">
        <v>0.04</v>
      </c>
      <c r="C8">
        <v>0.04</v>
      </c>
      <c r="D8">
        <v>0.04</v>
      </c>
      <c r="E8">
        <v>0.04</v>
      </c>
      <c r="F8">
        <v>0.04</v>
      </c>
      <c r="G8">
        <v>0.04</v>
      </c>
      <c r="H8">
        <v>0.04</v>
      </c>
      <c r="I8">
        <v>0.04</v>
      </c>
      <c r="J8">
        <v>0.04</v>
      </c>
    </row>
    <row r="9" spans="1:10">
      <c r="A9" s="2" t="s">
        <v>2</v>
      </c>
      <c r="B9">
        <v>-1</v>
      </c>
      <c r="C9">
        <f>B9+0.25</f>
        <v>-0.75</v>
      </c>
      <c r="D9">
        <f t="shared" ref="D9:I9" si="1">C9+0.25</f>
        <v>-0.5</v>
      </c>
      <c r="E9">
        <f t="shared" si="1"/>
        <v>-0.25</v>
      </c>
      <c r="F9">
        <f t="shared" si="1"/>
        <v>0</v>
      </c>
      <c r="G9">
        <f t="shared" si="1"/>
        <v>0.25</v>
      </c>
      <c r="H9">
        <f t="shared" si="1"/>
        <v>0.5</v>
      </c>
      <c r="I9">
        <f t="shared" si="1"/>
        <v>0.75</v>
      </c>
      <c r="J9">
        <v>0.99</v>
      </c>
    </row>
    <row r="10" spans="1:10">
      <c r="A10" s="96" t="s">
        <v>605</v>
      </c>
    </row>
    <row r="11" spans="1:10">
      <c r="A11" s="96" t="str">
        <f>A17</f>
        <v>Z*</v>
      </c>
      <c r="B11" s="109">
        <f t="shared" ref="B11:J11" si="2">B17</f>
        <v>3.7320508075688776</v>
      </c>
      <c r="C11" s="109">
        <f t="shared" si="2"/>
        <v>3.4610721925561894</v>
      </c>
      <c r="D11" s="109">
        <f t="shared" si="2"/>
        <v>3.1861406616345072</v>
      </c>
      <c r="E11" s="109">
        <f t="shared" si="2"/>
        <v>2.9058688457449504</v>
      </c>
      <c r="F11" s="109">
        <f t="shared" si="2"/>
        <v>2.6180339887498953</v>
      </c>
      <c r="G11" s="109">
        <f t="shared" si="2"/>
        <v>2.3187293044088437</v>
      </c>
      <c r="H11" s="109">
        <f t="shared" si="2"/>
        <v>2</v>
      </c>
      <c r="I11" s="109">
        <f t="shared" si="2"/>
        <v>1.6403882032022077</v>
      </c>
      <c r="J11" s="109">
        <f t="shared" si="2"/>
        <v>1.1051249219725046</v>
      </c>
    </row>
    <row r="12" spans="1:10">
      <c r="A12" t="s">
        <v>38</v>
      </c>
      <c r="B12" s="4">
        <f t="shared" ref="B12:J12" si="3">IF(B18&lt;B17,B4*B14*(B18^B15),B13)</f>
        <v>4.5205772181557808</v>
      </c>
      <c r="C12" s="4">
        <f t="shared" si="3"/>
        <v>4.2935632391051728</v>
      </c>
      <c r="D12" s="4">
        <f t="shared" si="3"/>
        <v>4.0383702019634207</v>
      </c>
      <c r="E12" s="4">
        <f t="shared" si="3"/>
        <v>3.7474716938974195</v>
      </c>
      <c r="F12" s="4">
        <f t="shared" si="3"/>
        <v>3.409490070205293</v>
      </c>
      <c r="G12" s="4">
        <f t="shared" si="3"/>
        <v>3.0056222469790645</v>
      </c>
      <c r="H12" s="4">
        <f t="shared" si="3"/>
        <v>2.5000000000000004</v>
      </c>
      <c r="I12" s="4">
        <f t="shared" si="3"/>
        <v>1.8023791689562476</v>
      </c>
      <c r="J12" s="4">
        <f t="shared" si="3"/>
        <v>0.36757330854501435</v>
      </c>
    </row>
    <row r="13" spans="1:10">
      <c r="A13" s="96" t="s">
        <v>39</v>
      </c>
      <c r="B13" s="4">
        <f>B3-B4</f>
        <v>0</v>
      </c>
      <c r="C13" s="4">
        <f t="shared" ref="C13:I13" si="4">C3-C4</f>
        <v>0</v>
      </c>
      <c r="D13" s="4">
        <f t="shared" si="4"/>
        <v>0</v>
      </c>
      <c r="E13" s="4">
        <f t="shared" si="4"/>
        <v>0</v>
      </c>
      <c r="F13" s="4">
        <f t="shared" si="4"/>
        <v>0</v>
      </c>
      <c r="G13" s="4">
        <f t="shared" si="4"/>
        <v>0</v>
      </c>
      <c r="H13" s="4">
        <f t="shared" si="4"/>
        <v>0</v>
      </c>
      <c r="I13" s="4">
        <f t="shared" si="4"/>
        <v>0</v>
      </c>
      <c r="J13" s="4">
        <f>J3-J4</f>
        <v>0</v>
      </c>
    </row>
    <row r="14" spans="1:10">
      <c r="A14" t="s">
        <v>609</v>
      </c>
      <c r="B14" s="4">
        <f>(B17-1)/(B17^B15)</f>
        <v>0.45205772181557807</v>
      </c>
      <c r="C14" s="4">
        <f t="shared" ref="C14:J14" si="5">(C17-1)/(C17^C15)</f>
        <v>0.42935632391051731</v>
      </c>
      <c r="D14" s="4">
        <f t="shared" si="5"/>
        <v>0.40383702019634204</v>
      </c>
      <c r="E14" s="4">
        <f t="shared" si="5"/>
        <v>0.37474716938974195</v>
      </c>
      <c r="F14" s="4">
        <f t="shared" si="5"/>
        <v>0.34094900702052933</v>
      </c>
      <c r="G14" s="4">
        <f t="shared" si="5"/>
        <v>0.30056222469790644</v>
      </c>
      <c r="H14" s="4">
        <f t="shared" si="5"/>
        <v>0.25000000000000006</v>
      </c>
      <c r="I14" s="4">
        <f t="shared" si="5"/>
        <v>0.18023791689562477</v>
      </c>
      <c r="J14" s="4">
        <f t="shared" si="5"/>
        <v>3.6757330854501433E-2</v>
      </c>
    </row>
    <row r="15" spans="1:10">
      <c r="A15" s="2" t="s">
        <v>610</v>
      </c>
      <c r="B15" s="4">
        <f>0.5-(B8-B7)/(B16^2)+SQRT(((B8-B7)/(B16^2)-0.5)^2 + (2*B8)/(B16^2))</f>
        <v>1.3660254037844386</v>
      </c>
      <c r="C15" s="4">
        <f t="shared" ref="C15:J15" si="6">0.5-(C8-C7)/(C16^2)+SQRT(((C8-C7)/(C16^2)-0.5)^2 + (2*C8)/(C16^2))</f>
        <v>1.4063269671749659</v>
      </c>
      <c r="D15" s="4">
        <f t="shared" si="6"/>
        <v>1.4574271077563381</v>
      </c>
      <c r="E15" s="4">
        <f t="shared" si="6"/>
        <v>1.5246950765959597</v>
      </c>
      <c r="F15" s="4">
        <f t="shared" si="6"/>
        <v>1.6180339887498947</v>
      </c>
      <c r="G15" s="4">
        <f t="shared" si="6"/>
        <v>1.7583057392117916</v>
      </c>
      <c r="H15" s="4">
        <f t="shared" si="6"/>
        <v>1.9999999999999998</v>
      </c>
      <c r="I15" s="4">
        <f t="shared" si="6"/>
        <v>2.5615528128088298</v>
      </c>
      <c r="J15" s="4">
        <f t="shared" si="6"/>
        <v>10.512492197250337</v>
      </c>
    </row>
    <row r="16" spans="1:10">
      <c r="A16" s="2" t="s">
        <v>569</v>
      </c>
      <c r="B16" s="3">
        <f t="shared" ref="B16:J16" si="7">SQRT(B5^2+B6^2-2*B9*B5*B6)</f>
        <v>0.4</v>
      </c>
      <c r="C16" s="3">
        <f t="shared" si="7"/>
        <v>0.37416573867739417</v>
      </c>
      <c r="D16" s="3">
        <f t="shared" si="7"/>
        <v>0.34641016151377552</v>
      </c>
      <c r="E16" s="3">
        <f t="shared" si="7"/>
        <v>0.31622776601683794</v>
      </c>
      <c r="F16" s="3">
        <f t="shared" si="7"/>
        <v>0.28284271247461906</v>
      </c>
      <c r="G16" s="3">
        <f t="shared" si="7"/>
        <v>0.24494897427831783</v>
      </c>
      <c r="H16" s="3">
        <f t="shared" si="7"/>
        <v>0.2</v>
      </c>
      <c r="I16" s="3">
        <f t="shared" si="7"/>
        <v>0.14142135623730953</v>
      </c>
      <c r="J16" s="3">
        <f t="shared" si="7"/>
        <v>2.8284271247462061E-2</v>
      </c>
    </row>
    <row r="17" spans="1:10">
      <c r="A17" t="s">
        <v>127</v>
      </c>
      <c r="B17" s="3">
        <f>(B15/(B15-1))</f>
        <v>3.7320508075688776</v>
      </c>
      <c r="C17" s="3">
        <f t="shared" ref="C17:I17" si="8">(C15/(C15-1))</f>
        <v>3.4610721925561894</v>
      </c>
      <c r="D17" s="3">
        <f t="shared" si="8"/>
        <v>3.1861406616345072</v>
      </c>
      <c r="E17" s="3">
        <f t="shared" si="8"/>
        <v>2.9058688457449504</v>
      </c>
      <c r="F17" s="3">
        <f t="shared" si="8"/>
        <v>2.6180339887498953</v>
      </c>
      <c r="G17" s="3">
        <f t="shared" si="8"/>
        <v>2.3187293044088437</v>
      </c>
      <c r="H17" s="3">
        <f t="shared" si="8"/>
        <v>2</v>
      </c>
      <c r="I17" s="3">
        <f t="shared" si="8"/>
        <v>1.6403882032022077</v>
      </c>
      <c r="J17" s="3">
        <f>(J15/(J15-1))</f>
        <v>1.1051249219725046</v>
      </c>
    </row>
    <row r="18" spans="1:10">
      <c r="A18" t="s">
        <v>128</v>
      </c>
      <c r="B18" s="3">
        <f>(B3/B4)</f>
        <v>1</v>
      </c>
      <c r="C18" s="3">
        <f t="shared" ref="C18:I18" si="9">(C3/C4)</f>
        <v>1</v>
      </c>
      <c r="D18" s="3">
        <f t="shared" si="9"/>
        <v>1</v>
      </c>
      <c r="E18" s="3">
        <f t="shared" si="9"/>
        <v>1</v>
      </c>
      <c r="F18" s="3">
        <f t="shared" si="9"/>
        <v>1</v>
      </c>
      <c r="G18" s="3">
        <f t="shared" si="9"/>
        <v>1</v>
      </c>
      <c r="H18" s="3">
        <f t="shared" si="9"/>
        <v>1</v>
      </c>
      <c r="I18" s="3">
        <f t="shared" si="9"/>
        <v>1</v>
      </c>
      <c r="J18" s="3">
        <f>(J3/J4)</f>
        <v>1</v>
      </c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C49"/>
  <sheetViews>
    <sheetView workbookViewId="0">
      <selection sqref="A1:C49"/>
    </sheetView>
  </sheetViews>
  <sheetFormatPr defaultRowHeight="12.75"/>
  <cols>
    <col min="1" max="1" width="38.5703125" customWidth="1"/>
    <col min="2" max="2" width="9.5703125" customWidth="1"/>
    <col min="3" max="3" width="47.7109375" customWidth="1"/>
  </cols>
  <sheetData>
    <row r="1" spans="1:3" ht="15">
      <c r="A1" s="40" t="s">
        <v>575</v>
      </c>
      <c r="B1" s="40"/>
      <c r="C1" s="40"/>
    </row>
    <row r="2" spans="1:3">
      <c r="A2" s="18" t="s">
        <v>613</v>
      </c>
      <c r="B2" s="30">
        <v>10</v>
      </c>
      <c r="C2" s="30" t="s">
        <v>553</v>
      </c>
    </row>
    <row r="3" spans="1:3">
      <c r="A3" s="20" t="s">
        <v>578</v>
      </c>
      <c r="B3" s="224">
        <f>B12*(B2-B7)</f>
        <v>0</v>
      </c>
      <c r="C3" s="21" t="s">
        <v>553</v>
      </c>
    </row>
    <row r="4" spans="1:3">
      <c r="A4" s="20" t="s">
        <v>579</v>
      </c>
      <c r="B4" s="224">
        <f>B20*B12</f>
        <v>138.54654975534069</v>
      </c>
      <c r="C4" s="21" t="s">
        <v>553</v>
      </c>
    </row>
    <row r="5" spans="1:3">
      <c r="A5" s="18" t="s">
        <v>580</v>
      </c>
      <c r="B5" s="225">
        <f>B28*B12</f>
        <v>168.4432286567577</v>
      </c>
      <c r="C5" s="7" t="s">
        <v>553</v>
      </c>
    </row>
    <row r="6" spans="1:3">
      <c r="A6" s="18" t="s">
        <v>602</v>
      </c>
      <c r="B6" s="225">
        <f>B25*B12</f>
        <v>250.06188009310696</v>
      </c>
      <c r="C6" s="7" t="s">
        <v>553</v>
      </c>
    </row>
    <row r="7" spans="1:3">
      <c r="A7" s="22" t="s">
        <v>615</v>
      </c>
      <c r="B7" s="220">
        <f>B13/B12</f>
        <v>10</v>
      </c>
      <c r="C7" s="31" t="s">
        <v>465</v>
      </c>
    </row>
    <row r="8" spans="1:3">
      <c r="A8" s="22" t="s">
        <v>614</v>
      </c>
      <c r="B8" s="220">
        <f>B41</f>
        <v>13.049894502448751</v>
      </c>
      <c r="C8" s="31" t="s">
        <v>572</v>
      </c>
    </row>
    <row r="9" spans="1:3">
      <c r="A9" s="22" t="s">
        <v>616</v>
      </c>
      <c r="B9" s="11">
        <f>B40</f>
        <v>14.28</v>
      </c>
      <c r="C9" s="32" t="s">
        <v>626</v>
      </c>
    </row>
    <row r="10" spans="1:3">
      <c r="A10" s="22" t="s">
        <v>617</v>
      </c>
      <c r="B10" s="24">
        <f>(B26/(B26-1))*B7</f>
        <v>20.003571337484473</v>
      </c>
      <c r="C10" s="15" t="s">
        <v>466</v>
      </c>
    </row>
    <row r="11" spans="1:3">
      <c r="A11" s="25" t="s">
        <v>583</v>
      </c>
      <c r="C11" s="9"/>
    </row>
    <row r="12" spans="1:3">
      <c r="A12" s="13" t="s">
        <v>618</v>
      </c>
      <c r="B12" s="26">
        <v>100</v>
      </c>
      <c r="C12" s="221" t="s">
        <v>553</v>
      </c>
    </row>
    <row r="13" spans="1:3">
      <c r="A13" s="13" t="s">
        <v>619</v>
      </c>
      <c r="B13" s="26">
        <v>1000</v>
      </c>
      <c r="C13" s="221" t="s">
        <v>553</v>
      </c>
    </row>
    <row r="14" spans="1:3">
      <c r="A14" s="13" t="s">
        <v>577</v>
      </c>
      <c r="B14" s="27">
        <v>0.04</v>
      </c>
      <c r="C14" s="31" t="s">
        <v>553</v>
      </c>
    </row>
    <row r="15" spans="1:3">
      <c r="A15" s="13" t="s">
        <v>586</v>
      </c>
      <c r="B15" s="28">
        <v>0.02</v>
      </c>
      <c r="C15" s="32" t="s">
        <v>553</v>
      </c>
    </row>
    <row r="16" spans="1:3">
      <c r="A16" s="13" t="s">
        <v>587</v>
      </c>
      <c r="B16" s="28">
        <v>0</v>
      </c>
      <c r="C16" s="32" t="s">
        <v>553</v>
      </c>
    </row>
    <row r="17" spans="1:3">
      <c r="A17" s="13" t="s">
        <v>588</v>
      </c>
      <c r="B17" s="27">
        <v>4</v>
      </c>
      <c r="C17" s="31" t="s">
        <v>553</v>
      </c>
    </row>
    <row r="18" spans="1:3">
      <c r="A18" s="13" t="s">
        <v>589</v>
      </c>
      <c r="B18" s="29">
        <v>0.245</v>
      </c>
      <c r="C18" s="222" t="s">
        <v>553</v>
      </c>
    </row>
    <row r="19" spans="1:3">
      <c r="A19" s="25" t="s">
        <v>605</v>
      </c>
      <c r="B19" s="23"/>
      <c r="C19" s="31"/>
    </row>
    <row r="20" spans="1:3">
      <c r="A20" s="13" t="s">
        <v>607</v>
      </c>
      <c r="B20" s="23">
        <f>EXP(-B14*B17)*B2*B23-B7*B24*EXP(-(B15-B16)*B17)</f>
        <v>1.3854654975534069</v>
      </c>
      <c r="C20" s="31" t="s">
        <v>564</v>
      </c>
    </row>
    <row r="21" spans="1:3">
      <c r="A21" s="13" t="s">
        <v>554</v>
      </c>
      <c r="B21" s="23">
        <f>(LN(B2/B7)+(B15-B16-B14+0.5*(B18^2))*B17)/(B18*SQRT(B17))</f>
        <v>8.1734693877551001E-2</v>
      </c>
      <c r="C21" s="31" t="s">
        <v>563</v>
      </c>
    </row>
    <row r="22" spans="1:3">
      <c r="A22" s="13" t="s">
        <v>555</v>
      </c>
      <c r="B22" s="23">
        <f>B21-B18*SQRT(B17)</f>
        <v>-0.40826530612244899</v>
      </c>
      <c r="C22" s="31" t="s">
        <v>467</v>
      </c>
    </row>
    <row r="23" spans="1:3">
      <c r="A23" s="13" t="s">
        <v>592</v>
      </c>
      <c r="B23" s="23">
        <f>NORMSDIST(B21)</f>
        <v>0.5325711555384437</v>
      </c>
      <c r="C23" s="31" t="s">
        <v>468</v>
      </c>
    </row>
    <row r="24" spans="1:3">
      <c r="A24" s="13" t="s">
        <v>593</v>
      </c>
      <c r="B24" s="23">
        <f>NORMSDIST(B22)</f>
        <v>0.34153945367061112</v>
      </c>
      <c r="C24" s="31" t="s">
        <v>612</v>
      </c>
    </row>
    <row r="25" spans="1:3">
      <c r="A25" s="13" t="s">
        <v>606</v>
      </c>
      <c r="B25" s="14">
        <f>IF(B2&lt;B10,B27*(B2^B26),B2-B7)</f>
        <v>2.5006188009310697</v>
      </c>
      <c r="C25" s="15" t="s">
        <v>469</v>
      </c>
    </row>
    <row r="26" spans="1:3" ht="14.25">
      <c r="A26" s="16" t="s">
        <v>196</v>
      </c>
      <c r="B26" s="14">
        <f>0.5-(B15-B16-B14)/(B18^2)+SQRT(((B15-B16-B14)/(B18^2)-0.5)^2 + 2*B15/(B18^2))</f>
        <v>1.9996429937505331</v>
      </c>
      <c r="C26" s="223" t="s">
        <v>470</v>
      </c>
    </row>
    <row r="27" spans="1:3">
      <c r="A27" s="17" t="s">
        <v>609</v>
      </c>
      <c r="B27" s="14">
        <f>(B10-B7)/(B10^B26)</f>
        <v>2.5026752479010383E-2</v>
      </c>
      <c r="C27" s="15" t="s">
        <v>471</v>
      </c>
    </row>
    <row r="28" spans="1:3">
      <c r="A28" s="13" t="s">
        <v>608</v>
      </c>
      <c r="B28" s="4">
        <f>IF(B2&gt;=B40,B2-B7,(B20+B31*(B2/B40)^B30))</f>
        <v>1.6844322865675769</v>
      </c>
      <c r="C28" s="32" t="s">
        <v>472</v>
      </c>
    </row>
    <row r="29" spans="1:3">
      <c r="A29" s="13" t="s">
        <v>620</v>
      </c>
      <c r="B29" s="23">
        <f>EXP(-B14*B17)*B40*B36-B7*B38*EXP(-(B15-B16)*B17)</f>
        <v>3.8514993758580891</v>
      </c>
      <c r="C29" s="31" t="s">
        <v>473</v>
      </c>
    </row>
    <row r="30" spans="1:3" ht="14.25">
      <c r="A30" s="2" t="s">
        <v>641</v>
      </c>
      <c r="B30" s="4">
        <f>((-(B34-1)+SQRT((B34-1)^2+(4*B33)/B32)))/2</f>
        <v>3.892886032129208</v>
      </c>
      <c r="C30" s="32" t="s">
        <v>474</v>
      </c>
    </row>
    <row r="31" spans="1:3">
      <c r="A31" t="s">
        <v>560</v>
      </c>
      <c r="B31" s="4">
        <f>(B40/B30)*(1-EXP(-B14*B17)*NORMSDIST(B35))</f>
        <v>1.1966364419036544</v>
      </c>
      <c r="C31" s="32" t="s">
        <v>475</v>
      </c>
    </row>
    <row r="32" spans="1:3">
      <c r="A32" t="s">
        <v>569</v>
      </c>
      <c r="B32" s="4">
        <f>1-EXP(-(B15-B16)*B17)</f>
        <v>7.6883653613364245E-2</v>
      </c>
      <c r="C32" s="32" t="s">
        <v>476</v>
      </c>
    </row>
    <row r="33" spans="1:3">
      <c r="A33" s="2" t="s">
        <v>556</v>
      </c>
      <c r="B33" s="4">
        <f>(2*B15-B16)/(B18^2)</f>
        <v>0.66638900458142447</v>
      </c>
      <c r="C33" s="32" t="s">
        <v>477</v>
      </c>
    </row>
    <row r="34" spans="1:3">
      <c r="A34" s="2" t="s">
        <v>562</v>
      </c>
      <c r="B34" s="4">
        <f>(2*(B15-B16-B14))/(B18^2)</f>
        <v>-0.66638900458142447</v>
      </c>
      <c r="C34" s="32" t="s">
        <v>478</v>
      </c>
    </row>
    <row r="35" spans="1:3">
      <c r="A35" t="s">
        <v>621</v>
      </c>
      <c r="B35" s="23">
        <f>(LN(B40/B7)+(B15-B16-B14+(B18^2)/2)*B17)/(B18*SQRT(B17))</f>
        <v>0.80882625289263788</v>
      </c>
      <c r="C35" s="31" t="s">
        <v>479</v>
      </c>
    </row>
    <row r="36" spans="1:3">
      <c r="A36" t="s">
        <v>622</v>
      </c>
      <c r="B36" s="4">
        <f>NORMSDIST(B35)</f>
        <v>0.7906924534027544</v>
      </c>
      <c r="C36" s="32" t="s">
        <v>480</v>
      </c>
    </row>
    <row r="37" spans="1:3">
      <c r="A37" t="s">
        <v>623</v>
      </c>
      <c r="B37" s="23">
        <f>B35-B18*SQRT(B17)</f>
        <v>0.31882625289263788</v>
      </c>
      <c r="C37" s="31" t="s">
        <v>481</v>
      </c>
    </row>
    <row r="38" spans="1:3">
      <c r="A38" t="s">
        <v>624</v>
      </c>
      <c r="B38" s="4">
        <f>NORMSDIST(B37)</f>
        <v>0.62507086528198386</v>
      </c>
      <c r="C38" s="32" t="s">
        <v>576</v>
      </c>
    </row>
    <row r="39" spans="1:3">
      <c r="A39" t="s">
        <v>625</v>
      </c>
      <c r="B39" s="4">
        <v>-1.02486741226232E-11</v>
      </c>
      <c r="C39" s="32" t="s">
        <v>553</v>
      </c>
    </row>
    <row r="40" spans="1:3">
      <c r="A40" t="s">
        <v>566</v>
      </c>
      <c r="B40" s="4">
        <v>14.28</v>
      </c>
      <c r="C40" s="32" t="s">
        <v>553</v>
      </c>
    </row>
    <row r="41" spans="1:3">
      <c r="A41" t="s">
        <v>573</v>
      </c>
      <c r="B41" s="4">
        <v>13.049894502448751</v>
      </c>
      <c r="C41" s="32" t="s">
        <v>553</v>
      </c>
    </row>
    <row r="42" spans="1:3">
      <c r="A42" t="s">
        <v>565</v>
      </c>
      <c r="B42" s="4">
        <v>9.6553751801880772</v>
      </c>
      <c r="C42" s="32" t="s">
        <v>553</v>
      </c>
    </row>
    <row r="43" spans="1:3">
      <c r="A43" s="13" t="s">
        <v>574</v>
      </c>
      <c r="B43" s="23">
        <f>EXP(-B14*B17)*B2*B46-B41*B47*EXP(-(B15-B16)*B17)-B2+B42</f>
        <v>4.0148598756672982E-7</v>
      </c>
      <c r="C43" s="31" t="s">
        <v>482</v>
      </c>
    </row>
    <row r="44" spans="1:3">
      <c r="A44" s="13" t="s">
        <v>554</v>
      </c>
      <c r="B44" s="23">
        <f>(LN(B2/B42)+(B15-B16-B14+0.5*(B18^2))*B17)/(B18*SQRT(B17))</f>
        <v>0.15330677393181663</v>
      </c>
      <c r="C44" s="31" t="s">
        <v>483</v>
      </c>
    </row>
    <row r="45" spans="1:3">
      <c r="A45" s="13" t="s">
        <v>555</v>
      </c>
      <c r="B45" s="23">
        <f>B44-B18*SQRT(B17)</f>
        <v>-0.33669322606818336</v>
      </c>
      <c r="C45" s="31" t="s">
        <v>484</v>
      </c>
    </row>
    <row r="46" spans="1:3">
      <c r="A46" s="13" t="s">
        <v>592</v>
      </c>
      <c r="B46" s="23">
        <f>NORMSDIST(B44)</f>
        <v>0.56092182050030814</v>
      </c>
      <c r="C46" s="31" t="s">
        <v>304</v>
      </c>
    </row>
    <row r="47" spans="1:3">
      <c r="A47" s="13" t="s">
        <v>593</v>
      </c>
      <c r="B47" s="23">
        <f>NORMSDIST(B45)</f>
        <v>0.36817408517437711</v>
      </c>
      <c r="C47" s="31" t="s">
        <v>305</v>
      </c>
    </row>
    <row r="48" spans="1:3">
      <c r="B48" s="4"/>
      <c r="C48" s="32"/>
    </row>
    <row r="49" spans="1:3">
      <c r="A49" s="54" t="s">
        <v>486</v>
      </c>
      <c r="B49" s="4">
        <f>ABS(B39)+ABS(B43)</f>
        <v>4.0149623624085244E-7</v>
      </c>
      <c r="C49" s="32" t="s">
        <v>485</v>
      </c>
    </row>
  </sheetData>
  <customSheetViews>
    <customSheetView guid="{5EBE86A6-E484-4409-9173-9C7E8878B5E9}" showRuler="0">
      <pageMargins left="0.75" right="0.75" top="1" bottom="1" header="0.5" footer="0.5"/>
      <pageSetup paperSize="9" orientation="portrait" horizontalDpi="1200" verticalDpi="1200" r:id="rId1"/>
      <headerFooter alignWithMargins="0"/>
    </customSheetView>
  </customSheetViews>
  <phoneticPr fontId="8" type="noConversion"/>
  <printOptions horizontalCentered="1" headings="1"/>
  <pageMargins left="0.12" right="0.12" top="0.98425196850393704" bottom="0.98425196850393704" header="0.51181102362204722" footer="0.51181102362204722"/>
  <pageSetup paperSize="9" scale="60" orientation="portrait" horizontalDpi="1200" verticalDpi="1200" r:id="rId2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P41"/>
  <sheetViews>
    <sheetView workbookViewId="0">
      <selection activeCell="A32" sqref="A32"/>
    </sheetView>
  </sheetViews>
  <sheetFormatPr defaultRowHeight="12.75"/>
  <cols>
    <col min="1" max="1" width="38.5703125" customWidth="1"/>
    <col min="2" max="2" width="9.5703125" customWidth="1"/>
    <col min="3" max="3" width="8.7109375" customWidth="1"/>
  </cols>
  <sheetData>
    <row r="1" spans="1:16">
      <c r="A1" s="18" t="s">
        <v>601</v>
      </c>
      <c r="B1" s="19">
        <v>8</v>
      </c>
      <c r="C1" s="19">
        <f>B1+1</f>
        <v>9</v>
      </c>
      <c r="D1" s="19">
        <f t="shared" ref="D1:P1" si="0">C1+1</f>
        <v>10</v>
      </c>
      <c r="E1" s="19">
        <f t="shared" si="0"/>
        <v>11</v>
      </c>
      <c r="F1" s="19">
        <f t="shared" si="0"/>
        <v>12</v>
      </c>
      <c r="G1" s="19">
        <f t="shared" si="0"/>
        <v>13</v>
      </c>
      <c r="H1" s="19">
        <f t="shared" si="0"/>
        <v>14</v>
      </c>
      <c r="I1" s="19">
        <f t="shared" si="0"/>
        <v>15</v>
      </c>
      <c r="J1" s="19">
        <f t="shared" si="0"/>
        <v>16</v>
      </c>
      <c r="K1" s="19">
        <f t="shared" si="0"/>
        <v>17</v>
      </c>
      <c r="L1" s="19">
        <f t="shared" si="0"/>
        <v>18</v>
      </c>
      <c r="M1" s="19">
        <f t="shared" si="0"/>
        <v>19</v>
      </c>
      <c r="N1" s="19">
        <f t="shared" si="0"/>
        <v>20</v>
      </c>
      <c r="O1" s="19">
        <f t="shared" si="0"/>
        <v>21</v>
      </c>
      <c r="P1" s="19">
        <f t="shared" si="0"/>
        <v>22</v>
      </c>
    </row>
    <row r="2" spans="1:16">
      <c r="A2" s="20" t="s">
        <v>578</v>
      </c>
      <c r="B2" s="21">
        <f>B11*(B1-B6)</f>
        <v>-200</v>
      </c>
      <c r="C2" s="21">
        <f t="shared" ref="C2:P2" si="1">C11*(C1-C6)</f>
        <v>-100</v>
      </c>
      <c r="D2" s="21">
        <f t="shared" si="1"/>
        <v>0</v>
      </c>
      <c r="E2" s="21">
        <f t="shared" si="1"/>
        <v>100</v>
      </c>
      <c r="F2" s="21">
        <f t="shared" si="1"/>
        <v>200</v>
      </c>
      <c r="G2" s="21">
        <f t="shared" si="1"/>
        <v>300</v>
      </c>
      <c r="H2" s="21">
        <f t="shared" si="1"/>
        <v>400</v>
      </c>
      <c r="I2" s="21">
        <f t="shared" si="1"/>
        <v>500</v>
      </c>
      <c r="J2" s="21">
        <f t="shared" si="1"/>
        <v>600</v>
      </c>
      <c r="K2" s="21">
        <f t="shared" si="1"/>
        <v>700</v>
      </c>
      <c r="L2" s="21">
        <f t="shared" si="1"/>
        <v>800</v>
      </c>
      <c r="M2" s="21">
        <f t="shared" si="1"/>
        <v>900</v>
      </c>
      <c r="N2" s="21">
        <f t="shared" si="1"/>
        <v>1000</v>
      </c>
      <c r="O2" s="21">
        <f t="shared" si="1"/>
        <v>1100</v>
      </c>
      <c r="P2" s="21">
        <f t="shared" si="1"/>
        <v>1200</v>
      </c>
    </row>
    <row r="3" spans="1:16">
      <c r="A3" s="20" t="s">
        <v>579</v>
      </c>
      <c r="B3" s="21">
        <f>B21*B11</f>
        <v>62.570583697925095</v>
      </c>
      <c r="C3" s="21">
        <f t="shared" ref="C3:P3" si="2">C21*C11</f>
        <v>96.749777314977734</v>
      </c>
      <c r="D3" s="21">
        <f t="shared" si="2"/>
        <v>138.54654975534069</v>
      </c>
      <c r="E3" s="21">
        <f t="shared" si="2"/>
        <v>187.24847989023434</v>
      </c>
      <c r="F3" s="21">
        <f t="shared" si="2"/>
        <v>242.02067925612855</v>
      </c>
      <c r="G3" s="21">
        <f t="shared" si="2"/>
        <v>302.01306749915807</v>
      </c>
      <c r="H3" s="21">
        <f t="shared" si="2"/>
        <v>366.42371608737665</v>
      </c>
      <c r="I3" s="21">
        <f t="shared" si="2"/>
        <v>434.53095072828029</v>
      </c>
      <c r="J3" s="21">
        <f t="shared" si="2"/>
        <v>505.70525403585515</v>
      </c>
      <c r="K3" s="21">
        <f t="shared" si="2"/>
        <v>579.40915817257712</v>
      </c>
      <c r="L3" s="21">
        <f t="shared" si="2"/>
        <v>655.19067453928074</v>
      </c>
      <c r="M3" s="21">
        <f t="shared" si="2"/>
        <v>732.67377711379049</v>
      </c>
      <c r="N3" s="21">
        <f t="shared" si="2"/>
        <v>811.54803736452959</v>
      </c>
      <c r="O3" s="21">
        <f t="shared" si="2"/>
        <v>891.5585764341472</v>
      </c>
      <c r="P3" s="21">
        <f t="shared" si="2"/>
        <v>972.49691645278119</v>
      </c>
    </row>
    <row r="4" spans="1:16">
      <c r="A4" s="18" t="s">
        <v>580</v>
      </c>
      <c r="B4" s="7">
        <f>B29*B11</f>
        <v>75.10751860409755</v>
      </c>
      <c r="C4" s="7">
        <f t="shared" ref="C4:P4" si="3">C29*C11</f>
        <v>116.57975890837848</v>
      </c>
      <c r="D4" s="7">
        <f t="shared" si="3"/>
        <v>168.43139470571376</v>
      </c>
      <c r="E4" s="7">
        <f t="shared" si="3"/>
        <v>230.55846284806321</v>
      </c>
      <c r="F4" s="7">
        <f t="shared" si="3"/>
        <v>302.7914261061332</v>
      </c>
      <c r="G4" s="7">
        <f t="shared" si="3"/>
        <v>385.00186879350969</v>
      </c>
      <c r="H4" s="7">
        <f t="shared" si="3"/>
        <v>477.16531660211405</v>
      </c>
      <c r="I4" s="7">
        <f t="shared" si="3"/>
        <v>500</v>
      </c>
      <c r="J4" s="7">
        <f t="shared" si="3"/>
        <v>600</v>
      </c>
      <c r="K4" s="7">
        <f t="shared" si="3"/>
        <v>700</v>
      </c>
      <c r="L4" s="7">
        <f t="shared" si="3"/>
        <v>800</v>
      </c>
      <c r="M4" s="7">
        <f t="shared" si="3"/>
        <v>900</v>
      </c>
      <c r="N4" s="7">
        <f t="shared" si="3"/>
        <v>1000</v>
      </c>
      <c r="O4" s="7">
        <f t="shared" si="3"/>
        <v>1100</v>
      </c>
      <c r="P4" s="7">
        <f t="shared" si="3"/>
        <v>1200</v>
      </c>
    </row>
    <row r="5" spans="1:16">
      <c r="A5" s="18" t="s">
        <v>602</v>
      </c>
      <c r="B5" s="7">
        <f>B26*B11</f>
        <v>160.05235310514669</v>
      </c>
      <c r="C5" s="7">
        <f t="shared" ref="C5:P5" si="4">C26*C11</f>
        <v>202.55774181246031</v>
      </c>
      <c r="D5" s="7">
        <f t="shared" si="4"/>
        <v>250.06188009310696</v>
      </c>
      <c r="E5" s="7">
        <f t="shared" si="4"/>
        <v>302.56457957532535</v>
      </c>
      <c r="F5" s="7">
        <f t="shared" si="4"/>
        <v>360.06566992019395</v>
      </c>
      <c r="G5" s="7">
        <f t="shared" si="4"/>
        <v>422.56499566512639</v>
      </c>
      <c r="H5" s="7">
        <f t="shared" si="4"/>
        <v>490.06241383065179</v>
      </c>
      <c r="I5" s="7">
        <f t="shared" si="4"/>
        <v>562.55779206242971</v>
      </c>
      <c r="J5" s="7">
        <f t="shared" si="4"/>
        <v>640.05100715979063</v>
      </c>
      <c r="K5" s="7">
        <f t="shared" si="4"/>
        <v>722.54194389044096</v>
      </c>
      <c r="L5" s="7">
        <f t="shared" si="4"/>
        <v>810.03049402157751</v>
      </c>
      <c r="M5" s="7">
        <f t="shared" si="4"/>
        <v>902.51655551772035</v>
      </c>
      <c r="N5" s="7">
        <f t="shared" si="4"/>
        <v>1000.0000318690538</v>
      </c>
      <c r="O5" s="7">
        <f t="shared" si="4"/>
        <v>1100</v>
      </c>
      <c r="P5" s="7">
        <f t="shared" si="4"/>
        <v>1200</v>
      </c>
    </row>
    <row r="6" spans="1:16">
      <c r="A6" s="22" t="s">
        <v>581</v>
      </c>
      <c r="B6" s="23">
        <f>B12/B11</f>
        <v>10</v>
      </c>
      <c r="C6" s="23">
        <f t="shared" ref="C6:P6" si="5">C12/C11</f>
        <v>10</v>
      </c>
      <c r="D6" s="23">
        <f t="shared" si="5"/>
        <v>10</v>
      </c>
      <c r="E6" s="23">
        <f t="shared" si="5"/>
        <v>10</v>
      </c>
      <c r="F6" s="23">
        <f t="shared" si="5"/>
        <v>10</v>
      </c>
      <c r="G6" s="23">
        <f t="shared" si="5"/>
        <v>10</v>
      </c>
      <c r="H6" s="23">
        <f t="shared" si="5"/>
        <v>10</v>
      </c>
      <c r="I6" s="23">
        <f t="shared" si="5"/>
        <v>10</v>
      </c>
      <c r="J6" s="23">
        <f t="shared" si="5"/>
        <v>10</v>
      </c>
      <c r="K6" s="23">
        <f t="shared" si="5"/>
        <v>10</v>
      </c>
      <c r="L6" s="23">
        <f t="shared" si="5"/>
        <v>10</v>
      </c>
      <c r="M6" s="23">
        <f t="shared" si="5"/>
        <v>10</v>
      </c>
      <c r="N6" s="23">
        <f t="shared" si="5"/>
        <v>10</v>
      </c>
      <c r="O6" s="23">
        <f t="shared" si="5"/>
        <v>10</v>
      </c>
      <c r="P6" s="23">
        <f t="shared" si="5"/>
        <v>10</v>
      </c>
    </row>
    <row r="7" spans="1:16">
      <c r="A7" s="22" t="s">
        <v>603</v>
      </c>
      <c r="B7" s="11">
        <v>13.053607102239818</v>
      </c>
      <c r="C7" s="11">
        <v>13.053607102239818</v>
      </c>
      <c r="D7" s="11">
        <v>13.053607102239818</v>
      </c>
      <c r="E7" s="11">
        <v>13.053607102239818</v>
      </c>
      <c r="F7" s="11">
        <v>13.053607102239818</v>
      </c>
      <c r="G7" s="11">
        <v>13.053607102239818</v>
      </c>
      <c r="H7" s="11">
        <v>13.053607102239818</v>
      </c>
      <c r="I7" s="11">
        <v>13.053607102239818</v>
      </c>
      <c r="J7" s="11">
        <v>13.053607102239818</v>
      </c>
      <c r="K7" s="11">
        <v>13.053607102239818</v>
      </c>
      <c r="L7" s="11">
        <v>13.053607102239818</v>
      </c>
      <c r="M7" s="11">
        <v>13.053607102239818</v>
      </c>
      <c r="N7" s="11">
        <v>13.053607102239818</v>
      </c>
      <c r="O7" s="11">
        <v>13.053607102239818</v>
      </c>
      <c r="P7" s="11">
        <v>13.053607102239818</v>
      </c>
    </row>
    <row r="8" spans="1:16">
      <c r="A8" s="22" t="s">
        <v>582</v>
      </c>
      <c r="B8" s="11">
        <f>B40</f>
        <v>14.281277317794135</v>
      </c>
      <c r="C8" s="11">
        <f t="shared" ref="C8:P8" si="6">C40</f>
        <v>14.281277317794135</v>
      </c>
      <c r="D8" s="11">
        <f t="shared" si="6"/>
        <v>14.281277317794135</v>
      </c>
      <c r="E8" s="11">
        <f t="shared" si="6"/>
        <v>14.281277317794135</v>
      </c>
      <c r="F8" s="11">
        <f t="shared" si="6"/>
        <v>14.281277317794135</v>
      </c>
      <c r="G8" s="11">
        <f t="shared" si="6"/>
        <v>14.281277317794135</v>
      </c>
      <c r="H8" s="11">
        <f t="shared" si="6"/>
        <v>14.281277317794135</v>
      </c>
      <c r="I8" s="11">
        <f t="shared" si="6"/>
        <v>14.281277317794135</v>
      </c>
      <c r="J8" s="11">
        <f t="shared" si="6"/>
        <v>14.281277317794135</v>
      </c>
      <c r="K8" s="11">
        <f t="shared" si="6"/>
        <v>14.281277317794135</v>
      </c>
      <c r="L8" s="11">
        <f t="shared" si="6"/>
        <v>14.281277317794135</v>
      </c>
      <c r="M8" s="11">
        <f t="shared" si="6"/>
        <v>14.281277317794135</v>
      </c>
      <c r="N8" s="11">
        <f t="shared" si="6"/>
        <v>14.281277317794135</v>
      </c>
      <c r="O8" s="11">
        <f t="shared" si="6"/>
        <v>14.281277317794135</v>
      </c>
      <c r="P8" s="11">
        <f t="shared" si="6"/>
        <v>14.281277317794135</v>
      </c>
    </row>
    <row r="9" spans="1:16">
      <c r="A9" s="22" t="s">
        <v>604</v>
      </c>
      <c r="B9" s="24">
        <f>(B27/(B27-1))*B6</f>
        <v>20.003571337484473</v>
      </c>
      <c r="C9" s="24">
        <f t="shared" ref="C9:P9" si="7">(C27/(C27-1))*C6</f>
        <v>20.003571337484473</v>
      </c>
      <c r="D9" s="24">
        <f t="shared" si="7"/>
        <v>20.003571337484473</v>
      </c>
      <c r="E9" s="24">
        <f t="shared" si="7"/>
        <v>20.003571337484473</v>
      </c>
      <c r="F9" s="24">
        <f t="shared" si="7"/>
        <v>20.003571337484473</v>
      </c>
      <c r="G9" s="24">
        <f t="shared" si="7"/>
        <v>20.003571337484473</v>
      </c>
      <c r="H9" s="24">
        <f t="shared" si="7"/>
        <v>20.003571337484473</v>
      </c>
      <c r="I9" s="24">
        <f t="shared" si="7"/>
        <v>20.003571337484473</v>
      </c>
      <c r="J9" s="24">
        <f t="shared" si="7"/>
        <v>20.003571337484473</v>
      </c>
      <c r="K9" s="24">
        <f t="shared" si="7"/>
        <v>20.003571337484473</v>
      </c>
      <c r="L9" s="24">
        <f t="shared" si="7"/>
        <v>20.003571337484473</v>
      </c>
      <c r="M9" s="24">
        <f t="shared" si="7"/>
        <v>20.003571337484473</v>
      </c>
      <c r="N9" s="24">
        <f t="shared" si="7"/>
        <v>20.003571337484473</v>
      </c>
      <c r="O9" s="24">
        <f t="shared" si="7"/>
        <v>20.003571337484473</v>
      </c>
      <c r="P9" s="24">
        <f t="shared" si="7"/>
        <v>20.003571337484473</v>
      </c>
    </row>
    <row r="10" spans="1:16">
      <c r="A10" s="25" t="s">
        <v>583</v>
      </c>
    </row>
    <row r="11" spans="1:16">
      <c r="A11" s="13" t="s">
        <v>584</v>
      </c>
      <c r="B11" s="26">
        <v>100</v>
      </c>
      <c r="C11" s="26">
        <v>100</v>
      </c>
      <c r="D11" s="26">
        <v>100</v>
      </c>
      <c r="E11" s="26">
        <v>100</v>
      </c>
      <c r="F11" s="26">
        <v>100</v>
      </c>
      <c r="G11" s="26">
        <v>100</v>
      </c>
      <c r="H11" s="26">
        <v>100</v>
      </c>
      <c r="I11" s="26">
        <v>100</v>
      </c>
      <c r="J11" s="26">
        <v>100</v>
      </c>
      <c r="K11" s="26">
        <v>100</v>
      </c>
      <c r="L11" s="26">
        <v>100</v>
      </c>
      <c r="M11" s="26">
        <v>100</v>
      </c>
      <c r="N11" s="26">
        <v>100</v>
      </c>
      <c r="O11" s="26">
        <v>100</v>
      </c>
      <c r="P11" s="26">
        <v>100</v>
      </c>
    </row>
    <row r="12" spans="1:16">
      <c r="A12" s="13" t="s">
        <v>585</v>
      </c>
      <c r="B12" s="26">
        <v>1000</v>
      </c>
      <c r="C12" s="26">
        <v>1000</v>
      </c>
      <c r="D12" s="26">
        <v>1000</v>
      </c>
      <c r="E12" s="26">
        <v>1000</v>
      </c>
      <c r="F12" s="26">
        <v>1000</v>
      </c>
      <c r="G12" s="26">
        <v>1000</v>
      </c>
      <c r="H12" s="26">
        <v>1000</v>
      </c>
      <c r="I12" s="26">
        <v>1000</v>
      </c>
      <c r="J12" s="26">
        <v>1000</v>
      </c>
      <c r="K12" s="26">
        <v>1000</v>
      </c>
      <c r="L12" s="26">
        <v>1000</v>
      </c>
      <c r="M12" s="26">
        <v>1000</v>
      </c>
      <c r="N12" s="26">
        <v>1000</v>
      </c>
      <c r="O12" s="26">
        <v>1000</v>
      </c>
      <c r="P12" s="26">
        <v>1000</v>
      </c>
    </row>
    <row r="13" spans="1:16">
      <c r="A13" s="13" t="s">
        <v>577</v>
      </c>
      <c r="B13" s="27">
        <v>0.04</v>
      </c>
      <c r="C13" s="27">
        <v>0.04</v>
      </c>
      <c r="D13" s="27">
        <v>0.04</v>
      </c>
      <c r="E13" s="27">
        <v>0.04</v>
      </c>
      <c r="F13" s="27">
        <v>0.04</v>
      </c>
      <c r="G13" s="27">
        <v>0.04</v>
      </c>
      <c r="H13" s="27">
        <v>0.04</v>
      </c>
      <c r="I13" s="27">
        <v>0.04</v>
      </c>
      <c r="J13" s="27">
        <v>0.04</v>
      </c>
      <c r="K13" s="27">
        <v>0.04</v>
      </c>
      <c r="L13" s="27">
        <v>0.04</v>
      </c>
      <c r="M13" s="27">
        <v>0.04</v>
      </c>
      <c r="N13" s="27">
        <v>0.04</v>
      </c>
      <c r="O13" s="27">
        <v>0.04</v>
      </c>
      <c r="P13" s="27">
        <v>0.04</v>
      </c>
    </row>
    <row r="14" spans="1:16">
      <c r="A14" s="13" t="s">
        <v>586</v>
      </c>
      <c r="B14" s="28">
        <v>0.02</v>
      </c>
      <c r="C14" s="28">
        <v>0.02</v>
      </c>
      <c r="D14" s="28">
        <v>0.02</v>
      </c>
      <c r="E14" s="28">
        <v>0.02</v>
      </c>
      <c r="F14" s="28">
        <v>0.02</v>
      </c>
      <c r="G14" s="28">
        <v>0.02</v>
      </c>
      <c r="H14" s="28">
        <v>0.02</v>
      </c>
      <c r="I14" s="28">
        <v>0.02</v>
      </c>
      <c r="J14" s="28">
        <v>0.02</v>
      </c>
      <c r="K14" s="28">
        <v>0.02</v>
      </c>
      <c r="L14" s="28">
        <v>0.02</v>
      </c>
      <c r="M14" s="28">
        <v>0.02</v>
      </c>
      <c r="N14" s="28">
        <v>0.02</v>
      </c>
      <c r="O14" s="28">
        <v>0.02</v>
      </c>
      <c r="P14" s="28">
        <v>0.02</v>
      </c>
    </row>
    <row r="15" spans="1:16">
      <c r="A15" s="13" t="s">
        <v>587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</row>
    <row r="16" spans="1:16">
      <c r="A16" s="13" t="s">
        <v>588</v>
      </c>
      <c r="B16" s="27">
        <v>4</v>
      </c>
      <c r="C16" s="27">
        <v>4</v>
      </c>
      <c r="D16" s="27">
        <v>4</v>
      </c>
      <c r="E16" s="27">
        <v>4</v>
      </c>
      <c r="F16" s="27">
        <v>4</v>
      </c>
      <c r="G16" s="27">
        <v>4</v>
      </c>
      <c r="H16" s="27">
        <v>4</v>
      </c>
      <c r="I16" s="27">
        <v>4</v>
      </c>
      <c r="J16" s="27">
        <v>4</v>
      </c>
      <c r="K16" s="27">
        <v>4</v>
      </c>
      <c r="L16" s="27">
        <v>4</v>
      </c>
      <c r="M16" s="27">
        <v>4</v>
      </c>
      <c r="N16" s="27">
        <v>4</v>
      </c>
      <c r="O16" s="27">
        <v>4</v>
      </c>
      <c r="P16" s="27">
        <v>4</v>
      </c>
    </row>
    <row r="17" spans="1:16">
      <c r="A17" s="13" t="s">
        <v>589</v>
      </c>
      <c r="B17" s="29">
        <v>0.245</v>
      </c>
      <c r="C17" s="29">
        <v>0.245</v>
      </c>
      <c r="D17" s="29">
        <v>0.245</v>
      </c>
      <c r="E17" s="29">
        <v>0.245</v>
      </c>
      <c r="F17" s="29">
        <v>0.245</v>
      </c>
      <c r="G17" s="29">
        <v>0.245</v>
      </c>
      <c r="H17" s="29">
        <v>0.245</v>
      </c>
      <c r="I17" s="29">
        <v>0.245</v>
      </c>
      <c r="J17" s="29">
        <v>0.245</v>
      </c>
      <c r="K17" s="29">
        <v>0.245</v>
      </c>
      <c r="L17" s="29">
        <v>0.245</v>
      </c>
      <c r="M17" s="29">
        <v>0.245</v>
      </c>
      <c r="N17" s="29">
        <v>0.245</v>
      </c>
      <c r="O17" s="29">
        <v>0.245</v>
      </c>
      <c r="P17" s="29">
        <v>0.245</v>
      </c>
    </row>
    <row r="18" spans="1:16">
      <c r="A18" s="13" t="s">
        <v>590</v>
      </c>
      <c r="B18" s="23">
        <f>B19-B13</f>
        <v>-0.02</v>
      </c>
      <c r="C18" s="23">
        <f t="shared" ref="C18:P18" si="8">C19-C13</f>
        <v>-0.02</v>
      </c>
      <c r="D18" s="23">
        <f t="shared" si="8"/>
        <v>-0.02</v>
      </c>
      <c r="E18" s="23">
        <f t="shared" si="8"/>
        <v>-0.02</v>
      </c>
      <c r="F18" s="23">
        <f t="shared" si="8"/>
        <v>-0.02</v>
      </c>
      <c r="G18" s="23">
        <f t="shared" si="8"/>
        <v>-0.02</v>
      </c>
      <c r="H18" s="23">
        <f t="shared" si="8"/>
        <v>-0.02</v>
      </c>
      <c r="I18" s="23">
        <f t="shared" si="8"/>
        <v>-0.02</v>
      </c>
      <c r="J18" s="23">
        <f t="shared" si="8"/>
        <v>-0.02</v>
      </c>
      <c r="K18" s="23">
        <f t="shared" si="8"/>
        <v>-0.02</v>
      </c>
      <c r="L18" s="23">
        <f t="shared" si="8"/>
        <v>-0.02</v>
      </c>
      <c r="M18" s="23">
        <f t="shared" si="8"/>
        <v>-0.02</v>
      </c>
      <c r="N18" s="23">
        <f t="shared" si="8"/>
        <v>-0.02</v>
      </c>
      <c r="O18" s="23">
        <f t="shared" si="8"/>
        <v>-0.02</v>
      </c>
      <c r="P18" s="23">
        <f t="shared" si="8"/>
        <v>-0.02</v>
      </c>
    </row>
    <row r="19" spans="1:16">
      <c r="A19" s="13" t="s">
        <v>591</v>
      </c>
      <c r="B19" s="23">
        <f>B14-B15</f>
        <v>0.02</v>
      </c>
      <c r="C19" s="23">
        <f t="shared" ref="C19:P19" si="9">C14-C15</f>
        <v>0.02</v>
      </c>
      <c r="D19" s="23">
        <f t="shared" si="9"/>
        <v>0.02</v>
      </c>
      <c r="E19" s="23">
        <f t="shared" si="9"/>
        <v>0.02</v>
      </c>
      <c r="F19" s="23">
        <f t="shared" si="9"/>
        <v>0.02</v>
      </c>
      <c r="G19" s="23">
        <f t="shared" si="9"/>
        <v>0.02</v>
      </c>
      <c r="H19" s="23">
        <f t="shared" si="9"/>
        <v>0.02</v>
      </c>
      <c r="I19" s="23">
        <f t="shared" si="9"/>
        <v>0.02</v>
      </c>
      <c r="J19" s="23">
        <f t="shared" si="9"/>
        <v>0.02</v>
      </c>
      <c r="K19" s="23">
        <f t="shared" si="9"/>
        <v>0.02</v>
      </c>
      <c r="L19" s="23">
        <f t="shared" si="9"/>
        <v>0.02</v>
      </c>
      <c r="M19" s="23">
        <f t="shared" si="9"/>
        <v>0.02</v>
      </c>
      <c r="N19" s="23">
        <f t="shared" si="9"/>
        <v>0.02</v>
      </c>
      <c r="O19" s="23">
        <f t="shared" si="9"/>
        <v>0.02</v>
      </c>
      <c r="P19" s="23">
        <f t="shared" si="9"/>
        <v>0.02</v>
      </c>
    </row>
    <row r="20" spans="1:16">
      <c r="A20" s="25" t="s">
        <v>605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1:16">
      <c r="A21" s="13" t="s">
        <v>607</v>
      </c>
      <c r="B21" s="23">
        <f>EXP(-B13*B16)*B1*B24-B6*B25*EXP(-B19*B16)</f>
        <v>0.62570583697925097</v>
      </c>
      <c r="C21" s="23">
        <f t="shared" ref="C21:P21" si="10">EXP(-C13*C16)*C1*C24-C6*C25*EXP(-C19*C16)</f>
        <v>0.96749777314977736</v>
      </c>
      <c r="D21" s="23">
        <f t="shared" si="10"/>
        <v>1.3854654975534069</v>
      </c>
      <c r="E21" s="23">
        <f t="shared" si="10"/>
        <v>1.8724847989023434</v>
      </c>
      <c r="F21" s="23">
        <f t="shared" si="10"/>
        <v>2.4202067925612853</v>
      </c>
      <c r="G21" s="23">
        <f t="shared" si="10"/>
        <v>3.0201306749915808</v>
      </c>
      <c r="H21" s="23">
        <f t="shared" si="10"/>
        <v>3.6642371608737667</v>
      </c>
      <c r="I21" s="23">
        <f t="shared" si="10"/>
        <v>4.3453095072828027</v>
      </c>
      <c r="J21" s="23">
        <f t="shared" si="10"/>
        <v>5.0570525403585513</v>
      </c>
      <c r="K21" s="23">
        <f t="shared" si="10"/>
        <v>5.7940915817257714</v>
      </c>
      <c r="L21" s="23">
        <f t="shared" si="10"/>
        <v>6.5519067453928068</v>
      </c>
      <c r="M21" s="23">
        <f t="shared" si="10"/>
        <v>7.3267377711379051</v>
      </c>
      <c r="N21" s="23">
        <f t="shared" si="10"/>
        <v>8.1154803736452958</v>
      </c>
      <c r="O21" s="23">
        <f t="shared" si="10"/>
        <v>8.915585764341472</v>
      </c>
      <c r="P21" s="23">
        <f t="shared" si="10"/>
        <v>9.7249691645278116</v>
      </c>
    </row>
    <row r="22" spans="1:16">
      <c r="A22" s="13" t="s">
        <v>554</v>
      </c>
      <c r="B22" s="23">
        <f>(LN(B1/B6)+(B19-B13+0.5*(B17^2))*B16)/(B17*SQRT(B16))</f>
        <v>-0.37366030880450968</v>
      </c>
      <c r="C22" s="23">
        <f t="shared" ref="C22:P22" si="11">(LN(C1/C6)+(C19-C13+0.5*(C17^2))*C16)/(C17*SQRT(C16))</f>
        <v>-0.1332867666486251</v>
      </c>
      <c r="D22" s="23">
        <f t="shared" si="11"/>
        <v>8.1734693877551001E-2</v>
      </c>
      <c r="E22" s="23">
        <f t="shared" si="11"/>
        <v>0.27624526490678553</v>
      </c>
      <c r="F22" s="23">
        <f t="shared" si="11"/>
        <v>0.45381950366113183</v>
      </c>
      <c r="G22" s="23">
        <f t="shared" si="11"/>
        <v>0.61717196830100207</v>
      </c>
      <c r="H22" s="23">
        <f t="shared" si="11"/>
        <v>0.76841272779839365</v>
      </c>
      <c r="I22" s="23">
        <f t="shared" si="11"/>
        <v>0.90921450634319256</v>
      </c>
      <c r="J22" s="23">
        <f t="shared" si="11"/>
        <v>1.040925773970889</v>
      </c>
      <c r="K22" s="23">
        <f t="shared" si="11"/>
        <v>1.164649491963613</v>
      </c>
      <c r="L22" s="23">
        <f t="shared" si="11"/>
        <v>1.2812993161267736</v>
      </c>
      <c r="M22" s="23">
        <f t="shared" si="11"/>
        <v>1.3916405840252954</v>
      </c>
      <c r="N22" s="23">
        <f t="shared" si="11"/>
        <v>1.4963207766529496</v>
      </c>
      <c r="O22" s="23">
        <f t="shared" si="11"/>
        <v>1.5958925402640354</v>
      </c>
      <c r="P22" s="23">
        <f t="shared" si="11"/>
        <v>1.6908313476821843</v>
      </c>
    </row>
    <row r="23" spans="1:16">
      <c r="A23" s="13" t="s">
        <v>555</v>
      </c>
      <c r="B23" s="23">
        <f>B22-B17*SQRT(B16)</f>
        <v>-0.86366030880450961</v>
      </c>
      <c r="C23" s="23">
        <f t="shared" ref="C23:P23" si="12">C22-C17*SQRT(C16)</f>
        <v>-0.62328676664862503</v>
      </c>
      <c r="D23" s="23">
        <f t="shared" si="12"/>
        <v>-0.40826530612244899</v>
      </c>
      <c r="E23" s="23">
        <f t="shared" si="12"/>
        <v>-0.21375473509321447</v>
      </c>
      <c r="F23" s="23">
        <f t="shared" si="12"/>
        <v>-3.6180496338868162E-2</v>
      </c>
      <c r="G23" s="23">
        <f t="shared" si="12"/>
        <v>0.12717196830100208</v>
      </c>
      <c r="H23" s="23">
        <f t="shared" si="12"/>
        <v>0.27841272779839366</v>
      </c>
      <c r="I23" s="23">
        <f t="shared" si="12"/>
        <v>0.41921450634319257</v>
      </c>
      <c r="J23" s="23">
        <f t="shared" si="12"/>
        <v>0.55092577397088904</v>
      </c>
      <c r="K23" s="23">
        <f t="shared" si="12"/>
        <v>0.67464949196361301</v>
      </c>
      <c r="L23" s="23">
        <f t="shared" si="12"/>
        <v>0.79129931612677362</v>
      </c>
      <c r="M23" s="23">
        <f t="shared" si="12"/>
        <v>0.90164058402529546</v>
      </c>
      <c r="N23" s="23">
        <f t="shared" si="12"/>
        <v>1.0063207766529496</v>
      </c>
      <c r="O23" s="23">
        <f t="shared" si="12"/>
        <v>1.1058925402640354</v>
      </c>
      <c r="P23" s="23">
        <f t="shared" si="12"/>
        <v>1.2008313476821844</v>
      </c>
    </row>
    <row r="24" spans="1:16">
      <c r="A24" s="13" t="s">
        <v>592</v>
      </c>
      <c r="B24" s="23">
        <f>NORMSDIST(B22)</f>
        <v>0.35432852933103454</v>
      </c>
      <c r="C24" s="23">
        <f t="shared" ref="C24:P25" si="13">NORMSDIST(C22)</f>
        <v>0.44698329645206614</v>
      </c>
      <c r="D24" s="23">
        <f t="shared" si="13"/>
        <v>0.5325711555384437</v>
      </c>
      <c r="E24" s="23">
        <f t="shared" si="13"/>
        <v>0.60882015353693564</v>
      </c>
      <c r="F24" s="23">
        <f t="shared" si="13"/>
        <v>0.67502062769201721</v>
      </c>
      <c r="G24" s="23">
        <f t="shared" si="13"/>
        <v>0.7314393484725088</v>
      </c>
      <c r="H24" s="23">
        <f t="shared" si="13"/>
        <v>0.77887898943673717</v>
      </c>
      <c r="I24" s="23">
        <f t="shared" si="13"/>
        <v>0.81838154580091937</v>
      </c>
      <c r="J24" s="23">
        <f t="shared" si="13"/>
        <v>0.85104500066427025</v>
      </c>
      <c r="K24" s="23">
        <f t="shared" si="13"/>
        <v>0.8779195492275691</v>
      </c>
      <c r="L24" s="23">
        <f t="shared" si="13"/>
        <v>0.89995572349214825</v>
      </c>
      <c r="M24" s="23">
        <f t="shared" si="13"/>
        <v>0.91798436859704857</v>
      </c>
      <c r="N24" s="23">
        <f t="shared" si="13"/>
        <v>0.93271495829744833</v>
      </c>
      <c r="O24" s="23">
        <f t="shared" si="13"/>
        <v>0.94474360634420851</v>
      </c>
      <c r="P24" s="23">
        <f t="shared" si="13"/>
        <v>0.95456549088647114</v>
      </c>
    </row>
    <row r="25" spans="1:16">
      <c r="A25" s="13" t="s">
        <v>593</v>
      </c>
      <c r="B25" s="23">
        <f>NORMSDIST(B23)</f>
        <v>0.19388726179645577</v>
      </c>
      <c r="C25" s="23">
        <f t="shared" si="13"/>
        <v>0.26654804619926975</v>
      </c>
      <c r="D25" s="23">
        <f t="shared" si="13"/>
        <v>0.34153945367061112</v>
      </c>
      <c r="E25" s="23">
        <f t="shared" si="13"/>
        <v>0.41536916260663792</v>
      </c>
      <c r="F25" s="23">
        <f t="shared" si="13"/>
        <v>0.48556921873672909</v>
      </c>
      <c r="G25" s="23">
        <f t="shared" si="13"/>
        <v>0.55059785436429043</v>
      </c>
      <c r="H25" s="23">
        <f t="shared" si="13"/>
        <v>0.60965222488176252</v>
      </c>
      <c r="I25" s="23">
        <f t="shared" si="13"/>
        <v>0.66247031433653736</v>
      </c>
      <c r="J25" s="23">
        <f t="shared" si="13"/>
        <v>0.70915772084577955</v>
      </c>
      <c r="K25" s="23">
        <f t="shared" si="13"/>
        <v>0.75005075945661748</v>
      </c>
      <c r="L25" s="23">
        <f t="shared" si="13"/>
        <v>0.78561532629402864</v>
      </c>
      <c r="M25" s="23">
        <f t="shared" si="13"/>
        <v>0.81637608754883129</v>
      </c>
      <c r="N25" s="23">
        <f t="shared" si="13"/>
        <v>0.84286935537341889</v>
      </c>
      <c r="O25" s="23">
        <f t="shared" si="13"/>
        <v>0.86561348301145191</v>
      </c>
      <c r="P25" s="23">
        <f t="shared" si="13"/>
        <v>0.88509168538747396</v>
      </c>
    </row>
    <row r="26" spans="1:16">
      <c r="A26" s="13" t="s">
        <v>606</v>
      </c>
      <c r="B26" s="14">
        <f>IF(B1&lt;B9,B28*(B1^B27),B1-B6)</f>
        <v>1.6005235310514669</v>
      </c>
      <c r="C26" s="14">
        <f t="shared" ref="C26:P26" si="14">IF(C1&lt;C9,C28*(C1^C27),C1-C6)</f>
        <v>2.0255774181246031</v>
      </c>
      <c r="D26" s="14">
        <f t="shared" si="14"/>
        <v>2.5006188009310697</v>
      </c>
      <c r="E26" s="14">
        <f t="shared" si="14"/>
        <v>3.0256457957532534</v>
      </c>
      <c r="F26" s="14">
        <f t="shared" si="14"/>
        <v>3.6006566992019393</v>
      </c>
      <c r="G26" s="14">
        <f t="shared" si="14"/>
        <v>4.2256499566512638</v>
      </c>
      <c r="H26" s="14">
        <f t="shared" si="14"/>
        <v>4.9006241383065179</v>
      </c>
      <c r="I26" s="14">
        <f t="shared" si="14"/>
        <v>5.6255779206242966</v>
      </c>
      <c r="J26" s="14">
        <f t="shared" si="14"/>
        <v>6.400510071597906</v>
      </c>
      <c r="K26" s="14">
        <f t="shared" si="14"/>
        <v>7.2254194389044102</v>
      </c>
      <c r="L26" s="14">
        <f t="shared" si="14"/>
        <v>8.100304940215775</v>
      </c>
      <c r="M26" s="14">
        <f t="shared" si="14"/>
        <v>9.0251655551772032</v>
      </c>
      <c r="N26" s="14">
        <f t="shared" si="14"/>
        <v>10.000000318690539</v>
      </c>
      <c r="O26" s="14">
        <f t="shared" si="14"/>
        <v>11</v>
      </c>
      <c r="P26" s="14">
        <f t="shared" si="14"/>
        <v>12</v>
      </c>
    </row>
    <row r="27" spans="1:16">
      <c r="A27" s="16" t="s">
        <v>610</v>
      </c>
      <c r="B27" s="14">
        <f>0.5-(B19-B13)/(B17^2)+SQRT(((B19-B13)/(B17^2)-0.5)^2 + 2*B14/(B17^2))</f>
        <v>1.9996429937505331</v>
      </c>
      <c r="C27" s="14">
        <f t="shared" ref="C27:P27" si="15">0.5-(C19-C13)/(C17^2)+SQRT(((C19-C13)/(C17^2)-0.5)^2 + 2*C14/(C17^2))</f>
        <v>1.9996429937505331</v>
      </c>
      <c r="D27" s="14">
        <f t="shared" si="15"/>
        <v>1.9996429937505331</v>
      </c>
      <c r="E27" s="14">
        <f t="shared" si="15"/>
        <v>1.9996429937505331</v>
      </c>
      <c r="F27" s="14">
        <f t="shared" si="15"/>
        <v>1.9996429937505331</v>
      </c>
      <c r="G27" s="14">
        <f t="shared" si="15"/>
        <v>1.9996429937505331</v>
      </c>
      <c r="H27" s="14">
        <f t="shared" si="15"/>
        <v>1.9996429937505331</v>
      </c>
      <c r="I27" s="14">
        <f t="shared" si="15"/>
        <v>1.9996429937505331</v>
      </c>
      <c r="J27" s="14">
        <f t="shared" si="15"/>
        <v>1.9996429937505331</v>
      </c>
      <c r="K27" s="14">
        <f t="shared" si="15"/>
        <v>1.9996429937505331</v>
      </c>
      <c r="L27" s="14">
        <f t="shared" si="15"/>
        <v>1.9996429937505331</v>
      </c>
      <c r="M27" s="14">
        <f t="shared" si="15"/>
        <v>1.9996429937505331</v>
      </c>
      <c r="N27" s="14">
        <f t="shared" si="15"/>
        <v>1.9996429937505331</v>
      </c>
      <c r="O27" s="14">
        <f t="shared" si="15"/>
        <v>1.9996429937505331</v>
      </c>
      <c r="P27" s="14">
        <f t="shared" si="15"/>
        <v>1.9996429937505331</v>
      </c>
    </row>
    <row r="28" spans="1:16">
      <c r="A28" s="17" t="s">
        <v>609</v>
      </c>
      <c r="B28" s="14">
        <f>(B9-B6)/(B9^B27)</f>
        <v>2.5026752479010383E-2</v>
      </c>
      <c r="C28" s="14">
        <f t="shared" ref="C28:P28" si="16">(C9-C6)/(C9^C27)</f>
        <v>2.5026752479010383E-2</v>
      </c>
      <c r="D28" s="14">
        <f t="shared" si="16"/>
        <v>2.5026752479010383E-2</v>
      </c>
      <c r="E28" s="14">
        <f t="shared" si="16"/>
        <v>2.5026752479010383E-2</v>
      </c>
      <c r="F28" s="14">
        <f t="shared" si="16"/>
        <v>2.5026752479010383E-2</v>
      </c>
      <c r="G28" s="14">
        <f t="shared" si="16"/>
        <v>2.5026752479010383E-2</v>
      </c>
      <c r="H28" s="14">
        <f t="shared" si="16"/>
        <v>2.5026752479010383E-2</v>
      </c>
      <c r="I28" s="14">
        <f t="shared" si="16"/>
        <v>2.5026752479010383E-2</v>
      </c>
      <c r="J28" s="14">
        <f t="shared" si="16"/>
        <v>2.5026752479010383E-2</v>
      </c>
      <c r="K28" s="14">
        <f t="shared" si="16"/>
        <v>2.5026752479010383E-2</v>
      </c>
      <c r="L28" s="14">
        <f t="shared" si="16"/>
        <v>2.5026752479010383E-2</v>
      </c>
      <c r="M28" s="14">
        <f t="shared" si="16"/>
        <v>2.5026752479010383E-2</v>
      </c>
      <c r="N28" s="14">
        <f t="shared" si="16"/>
        <v>2.5026752479010383E-2</v>
      </c>
      <c r="O28" s="14">
        <f t="shared" si="16"/>
        <v>2.5026752479010383E-2</v>
      </c>
      <c r="P28" s="14">
        <f t="shared" si="16"/>
        <v>2.5026752479010383E-2</v>
      </c>
    </row>
    <row r="29" spans="1:16">
      <c r="A29" s="13" t="s">
        <v>608</v>
      </c>
      <c r="B29" s="4">
        <f>IF(B1&gt;=B40,B1-B6,(B21+B32*(B1/B40)^B31))</f>
        <v>0.75107518604097545</v>
      </c>
      <c r="C29" s="4">
        <f t="shared" ref="C29:P29" si="17">IF(C1&gt;=C40,C1-C6,(C21+C32*(C1/C40)^C31))</f>
        <v>1.1657975890837848</v>
      </c>
      <c r="D29" s="4">
        <f t="shared" si="17"/>
        <v>1.6843139470571376</v>
      </c>
      <c r="E29" s="4">
        <f t="shared" si="17"/>
        <v>2.3055846284806321</v>
      </c>
      <c r="F29" s="4">
        <f t="shared" si="17"/>
        <v>3.0279142610613321</v>
      </c>
      <c r="G29" s="4">
        <f t="shared" si="17"/>
        <v>3.8500186879350968</v>
      </c>
      <c r="H29" s="4">
        <f t="shared" si="17"/>
        <v>4.7716531660211405</v>
      </c>
      <c r="I29" s="4">
        <f t="shared" si="17"/>
        <v>5</v>
      </c>
      <c r="J29" s="4">
        <f t="shared" si="17"/>
        <v>6</v>
      </c>
      <c r="K29" s="4">
        <f t="shared" si="17"/>
        <v>7</v>
      </c>
      <c r="L29" s="4">
        <f t="shared" si="17"/>
        <v>8</v>
      </c>
      <c r="M29" s="4">
        <f t="shared" si="17"/>
        <v>9</v>
      </c>
      <c r="N29" s="4">
        <f t="shared" si="17"/>
        <v>10</v>
      </c>
      <c r="O29" s="4">
        <f t="shared" si="17"/>
        <v>11</v>
      </c>
      <c r="P29" s="4">
        <f t="shared" si="17"/>
        <v>12</v>
      </c>
    </row>
    <row r="30" spans="1:16">
      <c r="A30" s="13" t="s">
        <v>594</v>
      </c>
      <c r="B30" s="23">
        <f>EXP(-B13*B16)*B40*B37-B6*B39*EXP(-B19*B16)</f>
        <v>3.8523600402946592</v>
      </c>
      <c r="C30" s="23">
        <f t="shared" ref="C30:P30" si="18">EXP(-C13*C16)*C40*C37-C6*C39*EXP(-C19*C16)</f>
        <v>3.8523600402946592</v>
      </c>
      <c r="D30" s="23">
        <f t="shared" si="18"/>
        <v>3.8523600402946592</v>
      </c>
      <c r="E30" s="23">
        <f t="shared" si="18"/>
        <v>3.8523600402946592</v>
      </c>
      <c r="F30" s="23">
        <f t="shared" si="18"/>
        <v>3.8523600402946592</v>
      </c>
      <c r="G30" s="23">
        <f t="shared" si="18"/>
        <v>3.8523600402946592</v>
      </c>
      <c r="H30" s="23">
        <f t="shared" si="18"/>
        <v>3.8523600402946592</v>
      </c>
      <c r="I30" s="23">
        <f t="shared" si="18"/>
        <v>3.8523600402946592</v>
      </c>
      <c r="J30" s="23">
        <f t="shared" si="18"/>
        <v>3.8523600402946592</v>
      </c>
      <c r="K30" s="23">
        <f t="shared" si="18"/>
        <v>3.8523600402946592</v>
      </c>
      <c r="L30" s="23">
        <f t="shared" si="18"/>
        <v>3.8523600402946592</v>
      </c>
      <c r="M30" s="23">
        <f t="shared" si="18"/>
        <v>3.8523600402946592</v>
      </c>
      <c r="N30" s="23">
        <f t="shared" si="18"/>
        <v>3.8523600402946592</v>
      </c>
      <c r="O30" s="23">
        <f t="shared" si="18"/>
        <v>3.8523600402946592</v>
      </c>
      <c r="P30" s="23">
        <f t="shared" si="18"/>
        <v>3.8523600402946592</v>
      </c>
    </row>
    <row r="31" spans="1:16">
      <c r="A31" s="2" t="s">
        <v>595</v>
      </c>
      <c r="B31" s="4">
        <f>((-(B35-1)+SQRT((B35-1)^2+(4*B34)/B33)))/2</f>
        <v>3.892886032129208</v>
      </c>
      <c r="C31" s="4">
        <f t="shared" ref="C31:P31" si="19">((-(C35-1)+SQRT((C35-1)^2+(4*C34)/C33)))/2</f>
        <v>3.892886032129208</v>
      </c>
      <c r="D31" s="4">
        <f t="shared" si="19"/>
        <v>3.892886032129208</v>
      </c>
      <c r="E31" s="4">
        <f t="shared" si="19"/>
        <v>3.892886032129208</v>
      </c>
      <c r="F31" s="4">
        <f t="shared" si="19"/>
        <v>3.892886032129208</v>
      </c>
      <c r="G31" s="4">
        <f t="shared" si="19"/>
        <v>3.892886032129208</v>
      </c>
      <c r="H31" s="4">
        <f t="shared" si="19"/>
        <v>3.892886032129208</v>
      </c>
      <c r="I31" s="4">
        <f t="shared" si="19"/>
        <v>3.892886032129208</v>
      </c>
      <c r="J31" s="4">
        <f t="shared" si="19"/>
        <v>3.892886032129208</v>
      </c>
      <c r="K31" s="4">
        <f t="shared" si="19"/>
        <v>3.892886032129208</v>
      </c>
      <c r="L31" s="4">
        <f t="shared" si="19"/>
        <v>3.892886032129208</v>
      </c>
      <c r="M31" s="4">
        <f t="shared" si="19"/>
        <v>3.892886032129208</v>
      </c>
      <c r="N31" s="4">
        <f t="shared" si="19"/>
        <v>3.892886032129208</v>
      </c>
      <c r="O31" s="4">
        <f t="shared" si="19"/>
        <v>3.892886032129208</v>
      </c>
      <c r="P31" s="4">
        <f t="shared" si="19"/>
        <v>3.892886032129208</v>
      </c>
    </row>
    <row r="32" spans="1:16">
      <c r="A32" t="s">
        <v>560</v>
      </c>
      <c r="B32" s="4">
        <f>(B40/B31)*(1-EXP(-B13*B16)*NORMSDIST(B36))</f>
        <v>1.1965793502467288</v>
      </c>
      <c r="C32" s="4">
        <f t="shared" ref="C32:P32" si="20">(C40/C31)*(1-EXP(-C13*C16)*NORMSDIST(C36))</f>
        <v>1.1965793502467288</v>
      </c>
      <c r="D32" s="4">
        <f t="shared" si="20"/>
        <v>1.1965793502467288</v>
      </c>
      <c r="E32" s="4">
        <f t="shared" si="20"/>
        <v>1.1965793502467288</v>
      </c>
      <c r="F32" s="4">
        <f t="shared" si="20"/>
        <v>1.1965793502467288</v>
      </c>
      <c r="G32" s="4">
        <f t="shared" si="20"/>
        <v>1.1965793502467288</v>
      </c>
      <c r="H32" s="4">
        <f t="shared" si="20"/>
        <v>1.1965793502467288</v>
      </c>
      <c r="I32" s="4">
        <f t="shared" si="20"/>
        <v>1.1965793502467288</v>
      </c>
      <c r="J32" s="4">
        <f t="shared" si="20"/>
        <v>1.1965793502467288</v>
      </c>
      <c r="K32" s="4">
        <f t="shared" si="20"/>
        <v>1.1965793502467288</v>
      </c>
      <c r="L32" s="4">
        <f t="shared" si="20"/>
        <v>1.1965793502467288</v>
      </c>
      <c r="M32" s="4">
        <f t="shared" si="20"/>
        <v>1.1965793502467288</v>
      </c>
      <c r="N32" s="4">
        <f t="shared" si="20"/>
        <v>1.1965793502467288</v>
      </c>
      <c r="O32" s="4">
        <f t="shared" si="20"/>
        <v>1.1965793502467288</v>
      </c>
      <c r="P32" s="4">
        <f t="shared" si="20"/>
        <v>1.1965793502467288</v>
      </c>
    </row>
    <row r="33" spans="1:16">
      <c r="A33" t="s">
        <v>569</v>
      </c>
      <c r="B33" s="4">
        <f>1-EXP(-B19*B16)</f>
        <v>7.6883653613364245E-2</v>
      </c>
      <c r="C33" s="4">
        <f t="shared" ref="C33:P33" si="21">1-EXP(-C19*C16)</f>
        <v>7.6883653613364245E-2</v>
      </c>
      <c r="D33" s="4">
        <f t="shared" si="21"/>
        <v>7.6883653613364245E-2</v>
      </c>
      <c r="E33" s="4">
        <f t="shared" si="21"/>
        <v>7.6883653613364245E-2</v>
      </c>
      <c r="F33" s="4">
        <f t="shared" si="21"/>
        <v>7.6883653613364245E-2</v>
      </c>
      <c r="G33" s="4">
        <f t="shared" si="21"/>
        <v>7.6883653613364245E-2</v>
      </c>
      <c r="H33" s="4">
        <f t="shared" si="21"/>
        <v>7.6883653613364245E-2</v>
      </c>
      <c r="I33" s="4">
        <f t="shared" si="21"/>
        <v>7.6883653613364245E-2</v>
      </c>
      <c r="J33" s="4">
        <f t="shared" si="21"/>
        <v>7.6883653613364245E-2</v>
      </c>
      <c r="K33" s="4">
        <f t="shared" si="21"/>
        <v>7.6883653613364245E-2</v>
      </c>
      <c r="L33" s="4">
        <f t="shared" si="21"/>
        <v>7.6883653613364245E-2</v>
      </c>
      <c r="M33" s="4">
        <f t="shared" si="21"/>
        <v>7.6883653613364245E-2</v>
      </c>
      <c r="N33" s="4">
        <f t="shared" si="21"/>
        <v>7.6883653613364245E-2</v>
      </c>
      <c r="O33" s="4">
        <f t="shared" si="21"/>
        <v>7.6883653613364245E-2</v>
      </c>
      <c r="P33" s="4">
        <f t="shared" si="21"/>
        <v>7.6883653613364245E-2</v>
      </c>
    </row>
    <row r="34" spans="1:16">
      <c r="A34" s="2" t="s">
        <v>556</v>
      </c>
      <c r="B34" s="4">
        <f>(2*B19)/(B17^2)</f>
        <v>0.66638900458142447</v>
      </c>
      <c r="C34" s="4">
        <f t="shared" ref="C34:P34" si="22">(2*C19)/(C17^2)</f>
        <v>0.66638900458142447</v>
      </c>
      <c r="D34" s="4">
        <f t="shared" si="22"/>
        <v>0.66638900458142447</v>
      </c>
      <c r="E34" s="4">
        <f t="shared" si="22"/>
        <v>0.66638900458142447</v>
      </c>
      <c r="F34" s="4">
        <f t="shared" si="22"/>
        <v>0.66638900458142447</v>
      </c>
      <c r="G34" s="4">
        <f t="shared" si="22"/>
        <v>0.66638900458142447</v>
      </c>
      <c r="H34" s="4">
        <f t="shared" si="22"/>
        <v>0.66638900458142447</v>
      </c>
      <c r="I34" s="4">
        <f t="shared" si="22"/>
        <v>0.66638900458142447</v>
      </c>
      <c r="J34" s="4">
        <f t="shared" si="22"/>
        <v>0.66638900458142447</v>
      </c>
      <c r="K34" s="4">
        <f t="shared" si="22"/>
        <v>0.66638900458142447</v>
      </c>
      <c r="L34" s="4">
        <f t="shared" si="22"/>
        <v>0.66638900458142447</v>
      </c>
      <c r="M34" s="4">
        <f t="shared" si="22"/>
        <v>0.66638900458142447</v>
      </c>
      <c r="N34" s="4">
        <f t="shared" si="22"/>
        <v>0.66638900458142447</v>
      </c>
      <c r="O34" s="4">
        <f t="shared" si="22"/>
        <v>0.66638900458142447</v>
      </c>
      <c r="P34" s="4">
        <f t="shared" si="22"/>
        <v>0.66638900458142447</v>
      </c>
    </row>
    <row r="35" spans="1:16">
      <c r="A35" s="2" t="s">
        <v>562</v>
      </c>
      <c r="B35" s="4">
        <f>(2*(B19-B13))/(B17^2)</f>
        <v>-0.66638900458142447</v>
      </c>
      <c r="C35" s="4">
        <f t="shared" ref="C35:P35" si="23">(2*(C19-C13))/(C17^2)</f>
        <v>-0.66638900458142447</v>
      </c>
      <c r="D35" s="4">
        <f t="shared" si="23"/>
        <v>-0.66638900458142447</v>
      </c>
      <c r="E35" s="4">
        <f t="shared" si="23"/>
        <v>-0.66638900458142447</v>
      </c>
      <c r="F35" s="4">
        <f t="shared" si="23"/>
        <v>-0.66638900458142447</v>
      </c>
      <c r="G35" s="4">
        <f t="shared" si="23"/>
        <v>-0.66638900458142447</v>
      </c>
      <c r="H35" s="4">
        <f t="shared" si="23"/>
        <v>-0.66638900458142447</v>
      </c>
      <c r="I35" s="4">
        <f t="shared" si="23"/>
        <v>-0.66638900458142447</v>
      </c>
      <c r="J35" s="4">
        <f t="shared" si="23"/>
        <v>-0.66638900458142447</v>
      </c>
      <c r="K35" s="4">
        <f t="shared" si="23"/>
        <v>-0.66638900458142447</v>
      </c>
      <c r="L35" s="4">
        <f t="shared" si="23"/>
        <v>-0.66638900458142447</v>
      </c>
      <c r="M35" s="4">
        <f t="shared" si="23"/>
        <v>-0.66638900458142447</v>
      </c>
      <c r="N35" s="4">
        <f t="shared" si="23"/>
        <v>-0.66638900458142447</v>
      </c>
      <c r="O35" s="4">
        <f t="shared" si="23"/>
        <v>-0.66638900458142447</v>
      </c>
      <c r="P35" s="4">
        <f t="shared" si="23"/>
        <v>-0.66638900458142447</v>
      </c>
    </row>
    <row r="36" spans="1:16">
      <c r="A36" t="s">
        <v>597</v>
      </c>
      <c r="B36" s="23">
        <f>(LN(B40/B6)+(B19-B13+(B17^2)/2)*B16)/(B17*SQRT(B16))</f>
        <v>0.80900879171827744</v>
      </c>
      <c r="C36" s="23">
        <f t="shared" ref="C36:P36" si="24">(LN(C40/C6)+(C19-C13+(C17^2)/2)*C16)/(C17*SQRT(C16))</f>
        <v>0.80900879171827744</v>
      </c>
      <c r="D36" s="23">
        <f t="shared" si="24"/>
        <v>0.80900879171827744</v>
      </c>
      <c r="E36" s="23">
        <f t="shared" si="24"/>
        <v>0.80900879171827744</v>
      </c>
      <c r="F36" s="23">
        <f t="shared" si="24"/>
        <v>0.80900879171827744</v>
      </c>
      <c r="G36" s="23">
        <f t="shared" si="24"/>
        <v>0.80900879171827744</v>
      </c>
      <c r="H36" s="23">
        <f t="shared" si="24"/>
        <v>0.80900879171827744</v>
      </c>
      <c r="I36" s="23">
        <f t="shared" si="24"/>
        <v>0.80900879171827744</v>
      </c>
      <c r="J36" s="23">
        <f t="shared" si="24"/>
        <v>0.80900879171827744</v>
      </c>
      <c r="K36" s="23">
        <f t="shared" si="24"/>
        <v>0.80900879171827744</v>
      </c>
      <c r="L36" s="23">
        <f t="shared" si="24"/>
        <v>0.80900879171827744</v>
      </c>
      <c r="M36" s="23">
        <f t="shared" si="24"/>
        <v>0.80900879171827744</v>
      </c>
      <c r="N36" s="23">
        <f t="shared" si="24"/>
        <v>0.80900879171827744</v>
      </c>
      <c r="O36" s="23">
        <f t="shared" si="24"/>
        <v>0.80900879171827744</v>
      </c>
      <c r="P36" s="23">
        <f t="shared" si="24"/>
        <v>0.80900879171827744</v>
      </c>
    </row>
    <row r="37" spans="1:16">
      <c r="A37" t="s">
        <v>598</v>
      </c>
      <c r="B37" s="4">
        <f>NORMSDIST(B36)</f>
        <v>0.79074495536688949</v>
      </c>
      <c r="C37" s="4">
        <f t="shared" ref="C37:P37" si="25">NORMSDIST(C36)</f>
        <v>0.79074495536688949</v>
      </c>
      <c r="D37" s="4">
        <f t="shared" si="25"/>
        <v>0.79074495536688949</v>
      </c>
      <c r="E37" s="4">
        <f t="shared" si="25"/>
        <v>0.79074495536688949</v>
      </c>
      <c r="F37" s="4">
        <f t="shared" si="25"/>
        <v>0.79074495536688949</v>
      </c>
      <c r="G37" s="4">
        <f t="shared" si="25"/>
        <v>0.79074495536688949</v>
      </c>
      <c r="H37" s="4">
        <f t="shared" si="25"/>
        <v>0.79074495536688949</v>
      </c>
      <c r="I37" s="4">
        <f t="shared" si="25"/>
        <v>0.79074495536688949</v>
      </c>
      <c r="J37" s="4">
        <f t="shared" si="25"/>
        <v>0.79074495536688949</v>
      </c>
      <c r="K37" s="4">
        <f t="shared" si="25"/>
        <v>0.79074495536688949</v>
      </c>
      <c r="L37" s="4">
        <f t="shared" si="25"/>
        <v>0.79074495536688949</v>
      </c>
      <c r="M37" s="4">
        <f t="shared" si="25"/>
        <v>0.79074495536688949</v>
      </c>
      <c r="N37" s="4">
        <f t="shared" si="25"/>
        <v>0.79074495536688949</v>
      </c>
      <c r="O37" s="4">
        <f t="shared" si="25"/>
        <v>0.79074495536688949</v>
      </c>
      <c r="P37" s="4">
        <f t="shared" si="25"/>
        <v>0.79074495536688949</v>
      </c>
    </row>
    <row r="38" spans="1:16">
      <c r="A38" t="s">
        <v>599</v>
      </c>
      <c r="B38" s="23">
        <f>B36-B17*SQRT(B16)</f>
        <v>0.31900879171827745</v>
      </c>
      <c r="C38" s="23">
        <f t="shared" ref="C38:P38" si="26">C36-C17*SQRT(C16)</f>
        <v>0.31900879171827745</v>
      </c>
      <c r="D38" s="23">
        <f t="shared" si="26"/>
        <v>0.31900879171827745</v>
      </c>
      <c r="E38" s="23">
        <f t="shared" si="26"/>
        <v>0.31900879171827745</v>
      </c>
      <c r="F38" s="23">
        <f t="shared" si="26"/>
        <v>0.31900879171827745</v>
      </c>
      <c r="G38" s="23">
        <f t="shared" si="26"/>
        <v>0.31900879171827745</v>
      </c>
      <c r="H38" s="23">
        <f t="shared" si="26"/>
        <v>0.31900879171827745</v>
      </c>
      <c r="I38" s="23">
        <f t="shared" si="26"/>
        <v>0.31900879171827745</v>
      </c>
      <c r="J38" s="23">
        <f t="shared" si="26"/>
        <v>0.31900879171827745</v>
      </c>
      <c r="K38" s="23">
        <f t="shared" si="26"/>
        <v>0.31900879171827745</v>
      </c>
      <c r="L38" s="23">
        <f t="shared" si="26"/>
        <v>0.31900879171827745</v>
      </c>
      <c r="M38" s="23">
        <f t="shared" si="26"/>
        <v>0.31900879171827745</v>
      </c>
      <c r="N38" s="23">
        <f t="shared" si="26"/>
        <v>0.31900879171827745</v>
      </c>
      <c r="O38" s="23">
        <f t="shared" si="26"/>
        <v>0.31900879171827745</v>
      </c>
      <c r="P38" s="23">
        <f t="shared" si="26"/>
        <v>0.31900879171827745</v>
      </c>
    </row>
    <row r="39" spans="1:16">
      <c r="A39" t="s">
        <v>600</v>
      </c>
      <c r="B39" s="4">
        <f>NORMSDIST(B38)</f>
        <v>0.62514007699878027</v>
      </c>
      <c r="C39" s="4">
        <f t="shared" ref="C39:P39" si="27">NORMSDIST(C38)</f>
        <v>0.62514007699878027</v>
      </c>
      <c r="D39" s="4">
        <f t="shared" si="27"/>
        <v>0.62514007699878027</v>
      </c>
      <c r="E39" s="4">
        <f t="shared" si="27"/>
        <v>0.62514007699878027</v>
      </c>
      <c r="F39" s="4">
        <f t="shared" si="27"/>
        <v>0.62514007699878027</v>
      </c>
      <c r="G39" s="4">
        <f t="shared" si="27"/>
        <v>0.62514007699878027</v>
      </c>
      <c r="H39" s="4">
        <f t="shared" si="27"/>
        <v>0.62514007699878027</v>
      </c>
      <c r="I39" s="4">
        <f t="shared" si="27"/>
        <v>0.62514007699878027</v>
      </c>
      <c r="J39" s="4">
        <f t="shared" si="27"/>
        <v>0.62514007699878027</v>
      </c>
      <c r="K39" s="4">
        <f t="shared" si="27"/>
        <v>0.62514007699878027</v>
      </c>
      <c r="L39" s="4">
        <f t="shared" si="27"/>
        <v>0.62514007699878027</v>
      </c>
      <c r="M39" s="4">
        <f t="shared" si="27"/>
        <v>0.62514007699878027</v>
      </c>
      <c r="N39" s="4">
        <f t="shared" si="27"/>
        <v>0.62514007699878027</v>
      </c>
      <c r="O39" s="4">
        <f t="shared" si="27"/>
        <v>0.62514007699878027</v>
      </c>
      <c r="P39" s="4">
        <f t="shared" si="27"/>
        <v>0.62514007699878027</v>
      </c>
    </row>
    <row r="40" spans="1:16">
      <c r="A40" t="s">
        <v>557</v>
      </c>
      <c r="B40" s="4">
        <v>14.281277317794135</v>
      </c>
      <c r="C40" s="4">
        <v>14.281277317794135</v>
      </c>
      <c r="D40" s="4">
        <v>14.281277317794135</v>
      </c>
      <c r="E40" s="4">
        <v>14.281277317794135</v>
      </c>
      <c r="F40" s="4">
        <v>14.281277317794135</v>
      </c>
      <c r="G40" s="4">
        <v>14.281277317794135</v>
      </c>
      <c r="H40" s="4">
        <v>14.281277317794135</v>
      </c>
      <c r="I40" s="4">
        <v>14.281277317794135</v>
      </c>
      <c r="J40" s="4">
        <v>14.281277317794135</v>
      </c>
      <c r="K40" s="4">
        <v>14.281277317794135</v>
      </c>
      <c r="L40" s="4">
        <v>14.281277317794135</v>
      </c>
      <c r="M40" s="4">
        <v>14.281277317794135</v>
      </c>
      <c r="N40" s="4">
        <v>14.281277317794135</v>
      </c>
      <c r="O40" s="4">
        <v>14.281277317794135</v>
      </c>
      <c r="P40" s="4">
        <v>14.281277317794135</v>
      </c>
    </row>
    <row r="41" spans="1:16">
      <c r="A41" t="s">
        <v>596</v>
      </c>
      <c r="B41" s="7">
        <f>B30+((1-EXP(-B13*B16))*B37)*(B40/B31)+B6-B40</f>
        <v>-2.1480617817815073E-6</v>
      </c>
      <c r="C41" s="7">
        <f t="shared" ref="C41:P41" si="28">C30+((1-EXP(-C13*C16))*C37)*(C40/C31)+C6-C40</f>
        <v>-2.1480617817815073E-6</v>
      </c>
      <c r="D41" s="7">
        <f t="shared" si="28"/>
        <v>-2.1480617817815073E-6</v>
      </c>
      <c r="E41" s="7">
        <f t="shared" si="28"/>
        <v>-2.1480617817815073E-6</v>
      </c>
      <c r="F41" s="7">
        <f t="shared" si="28"/>
        <v>-2.1480617817815073E-6</v>
      </c>
      <c r="G41" s="7">
        <f t="shared" si="28"/>
        <v>-2.1480617817815073E-6</v>
      </c>
      <c r="H41" s="7">
        <f t="shared" si="28"/>
        <v>-2.1480617817815073E-6</v>
      </c>
      <c r="I41" s="7">
        <f t="shared" si="28"/>
        <v>-2.1480617817815073E-6</v>
      </c>
      <c r="J41" s="7">
        <f t="shared" si="28"/>
        <v>-2.1480617817815073E-6</v>
      </c>
      <c r="K41" s="7">
        <f t="shared" si="28"/>
        <v>-2.1480617817815073E-6</v>
      </c>
      <c r="L41" s="7">
        <f t="shared" si="28"/>
        <v>-2.1480617817815073E-6</v>
      </c>
      <c r="M41" s="7">
        <f t="shared" si="28"/>
        <v>-2.1480617817815073E-6</v>
      </c>
      <c r="N41" s="7">
        <f t="shared" si="28"/>
        <v>-2.1480617817815073E-6</v>
      </c>
      <c r="O41" s="7">
        <f t="shared" si="28"/>
        <v>-2.1480617817815073E-6</v>
      </c>
      <c r="P41" s="7">
        <f t="shared" si="28"/>
        <v>-2.1480617817815073E-6</v>
      </c>
    </row>
  </sheetData>
  <customSheetViews>
    <customSheetView guid="{5EBE86A6-E484-4409-9173-9C7E8878B5E9}" showRuler="0">
      <selection activeCell="A32" sqref="A32"/>
      <pageMargins left="0.75" right="0.75" top="1" bottom="1" header="0.5" footer="0.5"/>
      <headerFooter alignWithMargins="0"/>
    </customSheetView>
  </customSheetViews>
  <phoneticPr fontId="8" type="noConversion"/>
  <pageMargins left="0.75" right="0.75" top="1" bottom="1" header="0.5" footer="0.5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33"/>
  <sheetViews>
    <sheetView topLeftCell="A19" workbookViewId="0">
      <selection sqref="A1:D33"/>
    </sheetView>
  </sheetViews>
  <sheetFormatPr defaultRowHeight="12.75"/>
  <cols>
    <col min="1" max="1" width="21.140625" customWidth="1"/>
    <col min="2" max="3" width="9.5703125" customWidth="1"/>
    <col min="4" max="4" width="41.85546875" bestFit="1" customWidth="1"/>
  </cols>
  <sheetData>
    <row r="1" spans="1:4" ht="18">
      <c r="A1" s="233"/>
      <c r="B1" s="340" t="s">
        <v>1225</v>
      </c>
      <c r="C1" s="340"/>
      <c r="D1" s="234"/>
    </row>
    <row r="2" spans="1:4">
      <c r="A2" s="43"/>
      <c r="B2" s="17"/>
      <c r="C2" s="17"/>
      <c r="D2" s="17"/>
    </row>
    <row r="3" spans="1:4">
      <c r="A3" s="43" t="s">
        <v>1226</v>
      </c>
      <c r="B3" s="17">
        <f>B4/2</f>
        <v>1</v>
      </c>
      <c r="C3" s="17">
        <f>C4/2</f>
        <v>10</v>
      </c>
      <c r="D3" s="17"/>
    </row>
    <row r="4" spans="1:4">
      <c r="A4" s="43" t="s">
        <v>1227</v>
      </c>
      <c r="B4" s="17">
        <v>2</v>
      </c>
      <c r="C4" s="17">
        <v>20</v>
      </c>
      <c r="D4" s="17"/>
    </row>
    <row r="5" spans="1:4">
      <c r="A5" s="43" t="s">
        <v>1228</v>
      </c>
      <c r="B5" s="14">
        <v>0.04</v>
      </c>
      <c r="C5" s="14">
        <v>0.04</v>
      </c>
      <c r="D5" s="17"/>
    </row>
    <row r="6" spans="1:4">
      <c r="A6" s="43" t="s">
        <v>1229</v>
      </c>
      <c r="B6" s="14">
        <v>0.04</v>
      </c>
      <c r="C6" s="14">
        <v>0.04</v>
      </c>
      <c r="D6" s="17"/>
    </row>
    <row r="7" spans="1:4">
      <c r="A7" s="43" t="s">
        <v>1230</v>
      </c>
      <c r="B7" s="14">
        <v>0.2</v>
      </c>
      <c r="C7" s="14">
        <v>0.2</v>
      </c>
      <c r="D7" s="17"/>
    </row>
    <row r="8" spans="1:4">
      <c r="A8" s="43" t="s">
        <v>1231</v>
      </c>
      <c r="B8" s="14">
        <v>100</v>
      </c>
      <c r="C8" s="14">
        <v>100</v>
      </c>
      <c r="D8" s="17"/>
    </row>
    <row r="9" spans="1:4">
      <c r="A9" s="43" t="s">
        <v>289</v>
      </c>
      <c r="B9" s="14">
        <v>20</v>
      </c>
      <c r="C9" s="14">
        <v>20</v>
      </c>
      <c r="D9" s="17"/>
    </row>
    <row r="10" spans="1:4" ht="13.5" thickBot="1">
      <c r="A10" s="43" t="s">
        <v>35</v>
      </c>
      <c r="B10" s="14">
        <v>80</v>
      </c>
      <c r="C10" s="14">
        <v>80</v>
      </c>
      <c r="D10" s="17"/>
    </row>
    <row r="11" spans="1:4" ht="16.5" thickTop="1" thickBot="1">
      <c r="A11" s="341" t="s">
        <v>1232</v>
      </c>
      <c r="B11" s="342" t="e">
        <f ca="1">B8*EXP(-B6*B4)*B26-B10*EXP(-B5*B4)*B27-B9*EXP(-B5*B3)*B25</f>
        <v>#NAME?</v>
      </c>
      <c r="C11" s="342" t="e">
        <f ca="1">C8*EXP(-C6*C4)*C26-C10*EXP(-C5*C4)*C27-C9*EXP(-C5*C3)*C25</f>
        <v>#NAME?</v>
      </c>
      <c r="D11" s="343" t="s">
        <v>1233</v>
      </c>
    </row>
    <row r="12" spans="1:4" ht="13.5" thickTop="1">
      <c r="A12" s="162" t="s">
        <v>1234</v>
      </c>
      <c r="B12" s="14">
        <f>B4-B3</f>
        <v>1</v>
      </c>
      <c r="C12" s="14">
        <f>C4-C3</f>
        <v>10</v>
      </c>
      <c r="D12" s="15" t="s">
        <v>1235</v>
      </c>
    </row>
    <row r="13" spans="1:4">
      <c r="A13" s="43" t="s">
        <v>566</v>
      </c>
      <c r="B13" s="14">
        <v>99.582697078004088</v>
      </c>
      <c r="C13" s="14">
        <v>94.79674040688333</v>
      </c>
      <c r="D13" s="15" t="s">
        <v>553</v>
      </c>
    </row>
    <row r="14" spans="1:4">
      <c r="A14" s="43" t="s">
        <v>554</v>
      </c>
      <c r="B14" s="14">
        <f>(LN(B13/B10)+((B5-B6+0.5*B7^2)*B12))/(B7*SQRT(B12))</f>
        <v>1.1948089535423192</v>
      </c>
      <c r="C14" s="14">
        <f>(LN(C13/C10)+((C5-C6+0.5*C7^2)*C12))/(C7*SQRT(C12))</f>
        <v>0.58456029139869015</v>
      </c>
      <c r="D14" s="15" t="s">
        <v>1236</v>
      </c>
    </row>
    <row r="15" spans="1:4">
      <c r="A15" s="43" t="s">
        <v>555</v>
      </c>
      <c r="B15" s="14">
        <f>B14-B7*SQRT(B12)</f>
        <v>0.99480895354231924</v>
      </c>
      <c r="C15" s="14">
        <f>C14-C7*SQRT(C12)</f>
        <v>-4.7895240634985847E-2</v>
      </c>
      <c r="D15" s="15" t="s">
        <v>1237</v>
      </c>
    </row>
    <row r="16" spans="1:4">
      <c r="A16" s="43" t="s">
        <v>1238</v>
      </c>
      <c r="B16" s="14">
        <f>NORMSDIST(B14)</f>
        <v>0.8839191593297826</v>
      </c>
      <c r="C16" s="14">
        <f>NORMSDIST(C14)</f>
        <v>0.72057829286829655</v>
      </c>
      <c r="D16" s="15" t="s">
        <v>1239</v>
      </c>
    </row>
    <row r="17" spans="1:4">
      <c r="A17" s="43" t="s">
        <v>1240</v>
      </c>
      <c r="B17" s="14">
        <f>NORMSDIST(B15)</f>
        <v>0.84008540462270287</v>
      </c>
      <c r="C17" s="14">
        <f>NORMSDIST(C15)</f>
        <v>0.48089986623134473</v>
      </c>
      <c r="D17" s="15" t="s">
        <v>567</v>
      </c>
    </row>
    <row r="18" spans="1:4">
      <c r="A18" s="43" t="s">
        <v>1241</v>
      </c>
      <c r="B18" s="14">
        <f>B13*EXP(-B6*B12)*B16-B10*EXP(-B5*B12)*B17</f>
        <v>20.000005794826436</v>
      </c>
      <c r="C18" s="14">
        <f>C13*EXP(-C6*C12)*C16-C10*EXP(-C5*C12)*C17</f>
        <v>19.999993377598628</v>
      </c>
      <c r="D18" s="15" t="s">
        <v>1242</v>
      </c>
    </row>
    <row r="19" spans="1:4">
      <c r="A19" s="43" t="s">
        <v>1243</v>
      </c>
      <c r="B19" s="14">
        <f>B18-B9</f>
        <v>5.7948264355900392E-6</v>
      </c>
      <c r="C19" s="14">
        <f>C18-C9</f>
        <v>-6.6224013721694064E-6</v>
      </c>
      <c r="D19" s="15" t="s">
        <v>1244</v>
      </c>
    </row>
    <row r="20" spans="1:4">
      <c r="A20" s="162" t="s">
        <v>1245</v>
      </c>
      <c r="B20" s="344">
        <f>SQRT(B3/B4)</f>
        <v>0.70710678118654757</v>
      </c>
      <c r="C20" s="344">
        <f>SQRT(C3/C4)</f>
        <v>0.70710678118654757</v>
      </c>
      <c r="D20" s="15" t="s">
        <v>1246</v>
      </c>
    </row>
    <row r="21" spans="1:4">
      <c r="A21" s="43" t="s">
        <v>1247</v>
      </c>
      <c r="B21" s="344">
        <f>(LN(B8/B13)+(B5-B6+0.5*B7^2)*B3)/(B7*SQRT(B3))</f>
        <v>0.12090880302872951</v>
      </c>
      <c r="C21" s="344">
        <f>(LN(C8/C13)+(C5-C6+0.5*C7^2)*C3)/(C7*SQRT(C3))</f>
        <v>0.40071617430076667</v>
      </c>
      <c r="D21" s="15" t="s">
        <v>1248</v>
      </c>
    </row>
    <row r="22" spans="1:4">
      <c r="A22" s="43" t="s">
        <v>1249</v>
      </c>
      <c r="B22" s="344">
        <f>(LN(B8/B10)+(B5-B6+0.5*B7^2)*B4)/(B7*SQRT(B4))</f>
        <v>0.93035294779893962</v>
      </c>
      <c r="C22" s="344">
        <f>(LN(C8/C10)+(C5-C6+0.5*C7^2)*C4)/(C7*SQRT(C4))</f>
        <v>0.69669567023960077</v>
      </c>
      <c r="D22" s="15" t="s">
        <v>1250</v>
      </c>
    </row>
    <row r="23" spans="1:4">
      <c r="A23" s="43" t="s">
        <v>1251</v>
      </c>
      <c r="B23" s="344">
        <f>B21-B7*SQRT(B3)</f>
        <v>-7.9091196971270497E-2</v>
      </c>
      <c r="C23" s="344">
        <f>C21-C7*SQRT(C3)</f>
        <v>-0.23173935773290932</v>
      </c>
      <c r="D23" s="15" t="s">
        <v>1252</v>
      </c>
    </row>
    <row r="24" spans="1:4">
      <c r="A24" s="43" t="s">
        <v>1253</v>
      </c>
      <c r="B24" s="344">
        <f>B22-B7*SQRT(B4)</f>
        <v>0.6475102353243205</v>
      </c>
      <c r="C24" s="344">
        <f>C22-C7*SQRT(C4)</f>
        <v>-0.19773152076031519</v>
      </c>
      <c r="D24" s="15" t="s">
        <v>1254</v>
      </c>
    </row>
    <row r="25" spans="1:4">
      <c r="A25" s="43" t="s">
        <v>1240</v>
      </c>
      <c r="B25" s="14">
        <f>NORMSDIST(B23)</f>
        <v>0.46848004268949217</v>
      </c>
      <c r="C25" s="14">
        <f>NORMSDIST(C23)</f>
        <v>0.40837023015699891</v>
      </c>
      <c r="D25" s="15" t="s">
        <v>1255</v>
      </c>
    </row>
    <row r="26" spans="1:4">
      <c r="A26" s="43" t="s">
        <v>1256</v>
      </c>
      <c r="B26" s="14" t="e">
        <f ca="1">BiVariateNormalCDF(B21,B22,B20)</f>
        <v>#NAME?</v>
      </c>
      <c r="C26" s="14" t="e">
        <f ca="1">BiVariateNormalCDF(C21,C22,C20)</f>
        <v>#NAME?</v>
      </c>
      <c r="D26" s="15" t="s">
        <v>1257</v>
      </c>
    </row>
    <row r="27" spans="1:4">
      <c r="A27" s="43" t="s">
        <v>558</v>
      </c>
      <c r="B27" s="14" t="e">
        <f ca="1">BiVariateNormalCDF(B23,B24,B20)</f>
        <v>#NAME?</v>
      </c>
      <c r="C27" s="14" t="e">
        <f ca="1">BiVariateNormalCDF(C23,C24,C20)</f>
        <v>#NAME?</v>
      </c>
      <c r="D27" s="15" t="s">
        <v>1258</v>
      </c>
    </row>
    <row r="28" spans="1:4">
      <c r="A28" s="43"/>
      <c r="B28" s="17"/>
      <c r="C28" s="17"/>
      <c r="D28" s="17"/>
    </row>
    <row r="29" spans="1:4">
      <c r="A29" s="345" t="s">
        <v>1259</v>
      </c>
      <c r="B29" s="17"/>
      <c r="C29" s="17"/>
      <c r="D29" s="17"/>
    </row>
    <row r="30" spans="1:4">
      <c r="A30" s="345" t="s">
        <v>1260</v>
      </c>
      <c r="B30" s="17"/>
      <c r="C30" s="17"/>
      <c r="D30" s="17"/>
    </row>
    <row r="31" spans="1:4">
      <c r="A31" s="345" t="s">
        <v>1261</v>
      </c>
      <c r="B31" s="17"/>
      <c r="C31" s="17"/>
      <c r="D31" s="17"/>
    </row>
    <row r="32" spans="1:4">
      <c r="A32" s="345" t="s">
        <v>1262</v>
      </c>
      <c r="B32" s="17"/>
      <c r="C32" s="17"/>
      <c r="D32" s="17"/>
    </row>
    <row r="33" spans="1:4">
      <c r="A33" s="346" t="s">
        <v>1263</v>
      </c>
      <c r="B33" s="49"/>
      <c r="C33" s="49"/>
      <c r="D33" s="49"/>
    </row>
  </sheetData>
  <printOptions headings="1"/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C37"/>
  <sheetViews>
    <sheetView workbookViewId="0">
      <selection sqref="A1:C37"/>
    </sheetView>
  </sheetViews>
  <sheetFormatPr defaultRowHeight="12.75"/>
  <cols>
    <col min="1" max="1" width="25.85546875" customWidth="1"/>
    <col min="2" max="2" width="11.5703125" bestFit="1" customWidth="1"/>
    <col min="3" max="3" width="45.7109375" bestFit="1" customWidth="1"/>
  </cols>
  <sheetData>
    <row r="1" spans="1:3" ht="18">
      <c r="A1" s="233"/>
      <c r="B1" s="340" t="s">
        <v>1264</v>
      </c>
      <c r="C1" s="234"/>
    </row>
    <row r="2" spans="1:3">
      <c r="A2" s="43"/>
      <c r="B2" s="17"/>
      <c r="C2" s="17"/>
    </row>
    <row r="3" spans="1:3">
      <c r="A3" s="43" t="s">
        <v>1226</v>
      </c>
      <c r="B3" s="17">
        <f>B4/2</f>
        <v>1</v>
      </c>
      <c r="C3" s="17"/>
    </row>
    <row r="4" spans="1:3">
      <c r="A4" s="43" t="s">
        <v>1227</v>
      </c>
      <c r="B4" s="17">
        <v>2</v>
      </c>
      <c r="C4" s="17"/>
    </row>
    <row r="5" spans="1:3">
      <c r="A5" s="43" t="s">
        <v>1229</v>
      </c>
      <c r="B5" s="14">
        <v>0.04</v>
      </c>
      <c r="C5" s="17"/>
    </row>
    <row r="6" spans="1:3">
      <c r="A6" s="43" t="s">
        <v>1265</v>
      </c>
      <c r="B6" s="14">
        <v>0.04</v>
      </c>
      <c r="C6" s="17"/>
    </row>
    <row r="7" spans="1:3">
      <c r="A7" s="43" t="s">
        <v>1230</v>
      </c>
      <c r="B7" s="14">
        <v>0.2</v>
      </c>
      <c r="C7" s="17"/>
    </row>
    <row r="8" spans="1:3">
      <c r="A8" s="43" t="s">
        <v>1266</v>
      </c>
      <c r="B8" s="14">
        <v>0.2</v>
      </c>
      <c r="C8" s="17"/>
    </row>
    <row r="9" spans="1:3">
      <c r="A9" s="43" t="s">
        <v>1267</v>
      </c>
      <c r="B9" s="14">
        <v>0.5</v>
      </c>
      <c r="C9" s="17"/>
    </row>
    <row r="10" spans="1:3">
      <c r="A10" s="43" t="s">
        <v>7</v>
      </c>
      <c r="B10" s="14">
        <f>SQRT(B7^2+B8^2-2*B9*B7*B8)</f>
        <v>0.2</v>
      </c>
      <c r="C10" s="15" t="s">
        <v>1268</v>
      </c>
    </row>
    <row r="11" spans="1:3">
      <c r="A11" s="43" t="s">
        <v>1231</v>
      </c>
      <c r="B11" s="14">
        <v>100</v>
      </c>
      <c r="C11" s="15" t="s">
        <v>553</v>
      </c>
    </row>
    <row r="12" spans="1:3">
      <c r="A12" s="43" t="s">
        <v>289</v>
      </c>
      <c r="B12" s="14">
        <v>20</v>
      </c>
      <c r="C12" s="15" t="s">
        <v>553</v>
      </c>
    </row>
    <row r="13" spans="1:3">
      <c r="A13" s="43" t="s">
        <v>35</v>
      </c>
      <c r="B13" s="14">
        <v>80</v>
      </c>
      <c r="C13" s="15" t="s">
        <v>553</v>
      </c>
    </row>
    <row r="14" spans="1:3" ht="13.5" thickBot="1">
      <c r="A14" s="347" t="s">
        <v>1269</v>
      </c>
      <c r="B14">
        <f>B11/B13</f>
        <v>1.25</v>
      </c>
      <c r="C14" s="9" t="s">
        <v>1270</v>
      </c>
    </row>
    <row r="15" spans="1:3" ht="16.5" thickTop="1" thickBot="1">
      <c r="A15" s="341" t="s">
        <v>1232</v>
      </c>
      <c r="B15" s="342" t="e">
        <f ca="1">B11*EXP(-B5*B4)*B30-B13*EXP(-B6*B4)*B31-B12*EXP(-B6*B3)*B29</f>
        <v>#NAME?</v>
      </c>
      <c r="C15" s="343" t="s">
        <v>1271</v>
      </c>
    </row>
    <row r="16" spans="1:3" ht="13.5" thickTop="1">
      <c r="A16" s="162" t="s">
        <v>1234</v>
      </c>
      <c r="B16" s="14">
        <f>B4-B3</f>
        <v>1</v>
      </c>
      <c r="C16" s="15" t="s">
        <v>1235</v>
      </c>
    </row>
    <row r="17" spans="1:3">
      <c r="A17" s="43" t="s">
        <v>116</v>
      </c>
      <c r="B17" s="14">
        <v>1.2447943242888186</v>
      </c>
      <c r="C17" s="15" t="s">
        <v>553</v>
      </c>
    </row>
    <row r="18" spans="1:3">
      <c r="A18" s="43" t="s">
        <v>554</v>
      </c>
      <c r="B18" s="14">
        <f>(LN(B11/B13)+((B5-B6+0.5*B10^2)*B16))/(B10*SQRT(B16))</f>
        <v>1.2157177565710489</v>
      </c>
      <c r="C18" s="15" t="s">
        <v>1272</v>
      </c>
    </row>
    <row r="19" spans="1:3">
      <c r="A19" s="43" t="s">
        <v>555</v>
      </c>
      <c r="B19" s="14">
        <f>B18-B10*SQRT(B16)</f>
        <v>1.0157177565710489</v>
      </c>
      <c r="C19" s="15" t="s">
        <v>1273</v>
      </c>
    </row>
    <row r="20" spans="1:3">
      <c r="A20" s="43" t="s">
        <v>1238</v>
      </c>
      <c r="B20" s="14">
        <f>NORMSDIST(B18)</f>
        <v>0.88795377118361474</v>
      </c>
      <c r="C20" s="15" t="s">
        <v>1274</v>
      </c>
    </row>
    <row r="21" spans="1:3">
      <c r="A21" s="43" t="s">
        <v>1240</v>
      </c>
      <c r="B21" s="14">
        <f>NORMSDIST(B19)</f>
        <v>0.84511809506438818</v>
      </c>
      <c r="C21" s="15" t="s">
        <v>1275</v>
      </c>
    </row>
    <row r="22" spans="1:3">
      <c r="A22" s="43" t="s">
        <v>1276</v>
      </c>
      <c r="B22" s="14">
        <f>B17*EXP(-B5*B16)*B20-EXP(-B6*B16)*B21</f>
        <v>0.24999906417929807</v>
      </c>
      <c r="C22" s="15" t="s">
        <v>1277</v>
      </c>
    </row>
    <row r="23" spans="1:3">
      <c r="A23" s="43" t="s">
        <v>1278</v>
      </c>
      <c r="B23" s="14">
        <f>B22-(B12/B13)</f>
        <v>-9.3582070193054534E-7</v>
      </c>
      <c r="C23" s="15" t="s">
        <v>1279</v>
      </c>
    </row>
    <row r="24" spans="1:3">
      <c r="A24" s="162" t="s">
        <v>1245</v>
      </c>
      <c r="B24" s="344">
        <f>SQRT(B3/B4)</f>
        <v>0.70710678118654757</v>
      </c>
      <c r="C24" s="15" t="s">
        <v>1246</v>
      </c>
    </row>
    <row r="25" spans="1:3">
      <c r="A25" s="43" t="s">
        <v>1247</v>
      </c>
      <c r="B25" s="344">
        <f>(LN(B14/B17)+(B6-B5+0.5*B10^2)*B3)/(B10*SQRT(B3))</f>
        <v>0.12086618209615897</v>
      </c>
      <c r="C25" s="15" t="s">
        <v>1280</v>
      </c>
    </row>
    <row r="26" spans="1:3">
      <c r="A26" s="43" t="s">
        <v>1249</v>
      </c>
      <c r="B26" s="344">
        <f>(LN(B14)+(B6-B5+0.5*B10^2)*B4)/(B10*SQRT(B4))</f>
        <v>0.93035294779893962</v>
      </c>
      <c r="C26" s="15" t="s">
        <v>1281</v>
      </c>
    </row>
    <row r="27" spans="1:3">
      <c r="A27" s="43" t="s">
        <v>1251</v>
      </c>
      <c r="B27" s="344">
        <f>B25-B7*SQRT(B3)</f>
        <v>-7.9133817903841039E-2</v>
      </c>
      <c r="C27" s="15" t="s">
        <v>1282</v>
      </c>
    </row>
    <row r="28" spans="1:3">
      <c r="A28" s="43" t="s">
        <v>1253</v>
      </c>
      <c r="B28" s="344">
        <f>B26-B7*SQRT(B4)</f>
        <v>0.6475102353243205</v>
      </c>
      <c r="C28" s="15" t="s">
        <v>1283</v>
      </c>
    </row>
    <row r="29" spans="1:3">
      <c r="A29" s="43" t="s">
        <v>1240</v>
      </c>
      <c r="B29" s="14">
        <f>NORMSDIST(B27)</f>
        <v>0.4684630925242973</v>
      </c>
      <c r="C29" s="15" t="s">
        <v>1284</v>
      </c>
    </row>
    <row r="30" spans="1:3">
      <c r="A30" s="43" t="s">
        <v>1256</v>
      </c>
      <c r="B30" s="14" t="e">
        <f ca="1">BiVariateNormalCDF(B25,B26,B24)</f>
        <v>#NAME?</v>
      </c>
      <c r="C30" s="15" t="s">
        <v>1285</v>
      </c>
    </row>
    <row r="31" spans="1:3">
      <c r="A31" s="43" t="s">
        <v>558</v>
      </c>
      <c r="B31" s="14" t="e">
        <f ca="1">BiVariateNormalCDF(B27,B28,B24)</f>
        <v>#NAME?</v>
      </c>
      <c r="C31" s="15" t="s">
        <v>1286</v>
      </c>
    </row>
    <row r="32" spans="1:3">
      <c r="A32" s="43"/>
      <c r="B32" s="17"/>
      <c r="C32" s="17"/>
    </row>
    <row r="33" spans="1:3">
      <c r="A33" s="345" t="s">
        <v>1287</v>
      </c>
      <c r="B33" s="17"/>
      <c r="C33" s="17"/>
    </row>
    <row r="34" spans="1:3">
      <c r="A34" s="345" t="s">
        <v>1288</v>
      </c>
      <c r="B34" s="17"/>
      <c r="C34" s="17"/>
    </row>
    <row r="35" spans="1:3">
      <c r="A35" s="345" t="s">
        <v>1289</v>
      </c>
      <c r="B35" s="17"/>
      <c r="C35" s="17"/>
    </row>
    <row r="36" spans="1:3">
      <c r="A36" s="345" t="s">
        <v>1290</v>
      </c>
      <c r="B36" s="17"/>
      <c r="C36" s="17"/>
    </row>
    <row r="37" spans="1:3">
      <c r="A37" s="346" t="s">
        <v>1291</v>
      </c>
      <c r="B37" s="49"/>
      <c r="C37" s="49"/>
    </row>
  </sheetData>
  <printOptions headings="1"/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J41"/>
  <sheetViews>
    <sheetView workbookViewId="0"/>
  </sheetViews>
  <sheetFormatPr defaultRowHeight="12.75"/>
  <cols>
    <col min="1" max="1" width="13.42578125" bestFit="1" customWidth="1"/>
    <col min="2" max="2" width="9.7109375" customWidth="1"/>
    <col min="3" max="3" width="12.140625" customWidth="1"/>
    <col min="4" max="4" width="12.42578125" bestFit="1" customWidth="1"/>
  </cols>
  <sheetData>
    <row r="1" spans="1:10" ht="15.75">
      <c r="A1" s="18" t="s">
        <v>1530</v>
      </c>
      <c r="B1" s="33" t="s">
        <v>553</v>
      </c>
      <c r="C1" s="18" t="s">
        <v>1531</v>
      </c>
      <c r="D1" s="33" t="s">
        <v>553</v>
      </c>
    </row>
    <row r="2" spans="1:10" ht="15">
      <c r="A2" s="17" t="s">
        <v>583</v>
      </c>
      <c r="B2" s="157" t="s">
        <v>553</v>
      </c>
      <c r="C2" s="157" t="s">
        <v>553</v>
      </c>
      <c r="D2" s="17" t="s">
        <v>583</v>
      </c>
      <c r="E2" s="402" t="s">
        <v>553</v>
      </c>
      <c r="F2" s="402"/>
      <c r="G2" s="402" t="s">
        <v>553</v>
      </c>
      <c r="H2" s="402"/>
      <c r="I2" s="402"/>
    </row>
    <row r="3" spans="1:10" ht="18">
      <c r="A3" s="382" t="s">
        <v>1</v>
      </c>
      <c r="B3" s="403">
        <v>100</v>
      </c>
      <c r="C3" s="14">
        <f>B3</f>
        <v>100</v>
      </c>
      <c r="D3" s="382" t="s">
        <v>1</v>
      </c>
      <c r="E3" s="326" t="s">
        <v>1094</v>
      </c>
      <c r="F3" s="404" t="s">
        <v>589</v>
      </c>
      <c r="G3" s="328" t="s">
        <v>444</v>
      </c>
      <c r="H3" s="326" t="s">
        <v>553</v>
      </c>
      <c r="I3" s="326" t="s">
        <v>1096</v>
      </c>
      <c r="J3" s="329" t="s">
        <v>1511</v>
      </c>
    </row>
    <row r="4" spans="1:10" ht="15.75">
      <c r="A4" s="405" t="s">
        <v>187</v>
      </c>
      <c r="B4" s="403">
        <v>90</v>
      </c>
      <c r="C4" s="14">
        <f t="shared" ref="C4:C17" si="0">B4</f>
        <v>90</v>
      </c>
      <c r="D4" s="382" t="s">
        <v>187</v>
      </c>
      <c r="E4" s="332">
        <v>1</v>
      </c>
      <c r="F4" s="333">
        <f>B33</f>
        <v>0.2</v>
      </c>
      <c r="G4" s="333">
        <f>B27</f>
        <v>3.00000000000523</v>
      </c>
      <c r="H4" s="406" t="s">
        <v>553</v>
      </c>
      <c r="I4" s="407">
        <f>B29</f>
        <v>134.99999996656956</v>
      </c>
      <c r="J4" s="406">
        <f>I4-B4</f>
        <v>44.999999966569561</v>
      </c>
    </row>
    <row r="5" spans="1:10" ht="15.75">
      <c r="A5" s="405" t="s">
        <v>186</v>
      </c>
      <c r="B5" s="403">
        <v>10</v>
      </c>
      <c r="C5" s="14">
        <f t="shared" si="0"/>
        <v>10</v>
      </c>
      <c r="D5" s="17" t="s">
        <v>186</v>
      </c>
      <c r="E5" s="332">
        <v>2</v>
      </c>
      <c r="F5" s="333">
        <f>C33</f>
        <v>0.44721359550089362</v>
      </c>
      <c r="G5" s="333">
        <f>C34</f>
        <v>1.3660254037822379</v>
      </c>
      <c r="H5" s="406" t="s">
        <v>553</v>
      </c>
      <c r="I5" s="407">
        <f>C29</f>
        <v>126.83685009645247</v>
      </c>
      <c r="J5" s="406">
        <f>I5-B5-B4</f>
        <v>26.836850096452466</v>
      </c>
    </row>
    <row r="6" spans="1:10" ht="15.75">
      <c r="A6" s="408" t="s">
        <v>1532</v>
      </c>
      <c r="B6" s="403">
        <v>0.2</v>
      </c>
      <c r="C6" s="14">
        <f t="shared" si="0"/>
        <v>0.2</v>
      </c>
      <c r="D6" s="16" t="s">
        <v>1533</v>
      </c>
    </row>
    <row r="7" spans="1:10" ht="16.5">
      <c r="A7" s="408" t="s">
        <v>1534</v>
      </c>
      <c r="B7" s="403">
        <v>0.2</v>
      </c>
      <c r="C7" s="14">
        <f t="shared" si="0"/>
        <v>0.2</v>
      </c>
      <c r="D7" s="16" t="s">
        <v>1534</v>
      </c>
      <c r="E7" s="326" t="s">
        <v>1094</v>
      </c>
      <c r="F7" s="330" t="s">
        <v>104</v>
      </c>
      <c r="G7" s="329" t="s">
        <v>609</v>
      </c>
      <c r="H7" s="409" t="s">
        <v>562</v>
      </c>
      <c r="I7" s="409" t="s">
        <v>1535</v>
      </c>
      <c r="J7" s="409" t="s">
        <v>1536</v>
      </c>
    </row>
    <row r="8" spans="1:10" ht="15.75">
      <c r="A8" s="408" t="s">
        <v>1537</v>
      </c>
      <c r="B8" s="403">
        <f>B7</f>
        <v>0.2</v>
      </c>
      <c r="C8" s="14">
        <f t="shared" si="0"/>
        <v>0.2</v>
      </c>
      <c r="D8" s="16" t="s">
        <v>1537</v>
      </c>
      <c r="E8" s="332">
        <v>1</v>
      </c>
      <c r="F8" s="410">
        <f>B35</f>
        <v>18.289894577216028</v>
      </c>
      <c r="G8" s="333">
        <f>B26</f>
        <v>0.14814814705475093</v>
      </c>
      <c r="H8" s="333">
        <f>B27</f>
        <v>3.00000000000523</v>
      </c>
      <c r="I8" s="333">
        <f>B28</f>
        <v>-2.0000000014743669</v>
      </c>
      <c r="J8" s="1"/>
    </row>
    <row r="9" spans="1:10" ht="15.75">
      <c r="A9" s="408" t="s">
        <v>1538</v>
      </c>
      <c r="B9" s="403">
        <v>0.5</v>
      </c>
      <c r="C9" s="14">
        <f t="shared" si="0"/>
        <v>0.5</v>
      </c>
      <c r="D9" s="16" t="s">
        <v>1539</v>
      </c>
      <c r="E9" s="332">
        <v>2</v>
      </c>
      <c r="F9" s="410">
        <f>C35</f>
        <v>10.312906066335906</v>
      </c>
      <c r="G9" s="333">
        <f>C26</f>
        <v>3.3292304811496573E-2</v>
      </c>
      <c r="H9" s="333">
        <f>C27</f>
        <v>4.0980762113538578</v>
      </c>
      <c r="I9" s="333">
        <f>C28</f>
        <v>-2.7320508045926193</v>
      </c>
      <c r="J9" s="333">
        <f>C30</f>
        <v>-0.36602540257963467</v>
      </c>
    </row>
    <row r="10" spans="1:10" ht="15.75">
      <c r="A10" s="408" t="s">
        <v>1540</v>
      </c>
      <c r="B10" s="403">
        <v>0.5</v>
      </c>
      <c r="C10" s="14">
        <f t="shared" si="0"/>
        <v>0.5</v>
      </c>
      <c r="D10" s="16" t="s">
        <v>1541</v>
      </c>
    </row>
    <row r="11" spans="1:10" ht="15.75">
      <c r="A11" s="408" t="s">
        <v>1542</v>
      </c>
      <c r="B11" s="403">
        <v>0</v>
      </c>
      <c r="C11" s="14">
        <f t="shared" si="0"/>
        <v>0</v>
      </c>
      <c r="D11" s="16" t="s">
        <v>1543</v>
      </c>
    </row>
    <row r="12" spans="1:10" ht="15.75">
      <c r="A12" s="411" t="s">
        <v>2</v>
      </c>
      <c r="B12" s="412">
        <v>0.04</v>
      </c>
      <c r="C12" s="14">
        <f t="shared" si="0"/>
        <v>0.04</v>
      </c>
      <c r="D12" s="413" t="s">
        <v>2</v>
      </c>
    </row>
    <row r="13" spans="1:10" ht="15.75">
      <c r="A13" s="408" t="s">
        <v>1544</v>
      </c>
      <c r="B13" s="414">
        <v>0</v>
      </c>
      <c r="C13" s="14">
        <f t="shared" si="0"/>
        <v>0</v>
      </c>
      <c r="D13" s="16" t="s">
        <v>1545</v>
      </c>
    </row>
    <row r="14" spans="1:10" ht="15.75">
      <c r="A14" s="408" t="s">
        <v>1546</v>
      </c>
      <c r="B14" s="414">
        <v>0.04</v>
      </c>
      <c r="C14" s="14">
        <f t="shared" si="0"/>
        <v>0.04</v>
      </c>
      <c r="D14" s="16" t="s">
        <v>1546</v>
      </c>
    </row>
    <row r="15" spans="1:10" ht="15.75">
      <c r="A15" s="408" t="s">
        <v>1547</v>
      </c>
      <c r="B15" s="414">
        <v>0.04</v>
      </c>
      <c r="C15" s="14">
        <f t="shared" si="0"/>
        <v>0.04</v>
      </c>
      <c r="D15" s="16" t="s">
        <v>1547</v>
      </c>
    </row>
    <row r="16" spans="1:10" ht="15.75">
      <c r="A16" s="408" t="s">
        <v>1548</v>
      </c>
      <c r="B16" s="403">
        <v>0</v>
      </c>
      <c r="C16" s="14">
        <f t="shared" si="0"/>
        <v>0</v>
      </c>
      <c r="D16" s="16" t="s">
        <v>1548</v>
      </c>
    </row>
    <row r="17" spans="1:5" ht="15.75">
      <c r="A17" s="408" t="s">
        <v>1549</v>
      </c>
      <c r="B17" s="403">
        <v>0.05</v>
      </c>
      <c r="C17" s="14">
        <f t="shared" si="0"/>
        <v>0.05</v>
      </c>
      <c r="D17" s="16" t="s">
        <v>1549</v>
      </c>
    </row>
    <row r="18" spans="1:5" ht="15.75">
      <c r="A18" s="408" t="s">
        <v>1550</v>
      </c>
      <c r="B18" s="403">
        <f>B6^2+B7^2-2*B9*B6*B7</f>
        <v>4.0000000000000008E-2</v>
      </c>
      <c r="C18" s="415">
        <f>(B27^2)*(C6^2)+((1-B27)^2)*(C7^2)+(C8^2)+2*B27*(1-B27)*C9*C6*C7-2*B27*C10*C6*C8-2*(1-B27)*C11*C7*C8</f>
        <v>0.2000000000008369</v>
      </c>
      <c r="D18" s="16" t="s">
        <v>1551</v>
      </c>
      <c r="E18" s="416" t="s">
        <v>553</v>
      </c>
    </row>
    <row r="19" spans="1:5" ht="15.75">
      <c r="A19" s="417" t="s">
        <v>1552</v>
      </c>
      <c r="B19" s="418">
        <f>0.5*(B18)*B27*(B27-1)+B27*(B13-B14)-(B12+B16-B14)</f>
        <v>3.1383229348591613E-13</v>
      </c>
      <c r="C19" s="309">
        <f>0.5*(C18)*C34*(C34-1)+C34*(C12+C16-C15)-(C12+C17-C15)</f>
        <v>-1.7194579093882112E-13</v>
      </c>
      <c r="D19" s="97" t="s">
        <v>772</v>
      </c>
      <c r="E19" s="309" t="s">
        <v>1553</v>
      </c>
    </row>
    <row r="20" spans="1:5" ht="15">
      <c r="A20" s="417" t="s">
        <v>1036</v>
      </c>
      <c r="B20" s="418">
        <f>B27*B26*(B29^(B27-1))*(B31^B28)-1</f>
        <v>-1.4482668619919536E-8</v>
      </c>
      <c r="C20" s="309">
        <f>C27*C26*(C29^(C27-1))*(C31^C28)*(C32^C30)-B27*B26*(C29^(B27-1))*(C31^(1-B27))</f>
        <v>6.8823367005421687E-9</v>
      </c>
      <c r="D20" s="97" t="s">
        <v>1036</v>
      </c>
      <c r="E20" s="419" t="s">
        <v>1554</v>
      </c>
    </row>
    <row r="21" spans="1:5" ht="15">
      <c r="A21" s="417" t="s">
        <v>1555</v>
      </c>
      <c r="B21" s="418">
        <f>B28*B26*(B29^B27)*(B31^(B28-1))+1</f>
        <v>1.3994860603716575E-8</v>
      </c>
      <c r="C21" s="309">
        <f>C28*C26*(C29^C27)*(C31^(C28-1))*(C32^C30)-(1-B27)*B26*(C29^B27)*(C31^(-B27))</f>
        <v>-5.5618678551638823E-9</v>
      </c>
      <c r="D21" s="97" t="s">
        <v>1555</v>
      </c>
      <c r="E21" s="419" t="s">
        <v>1556</v>
      </c>
    </row>
    <row r="22" spans="1:5">
      <c r="A22" s="97" t="s">
        <v>1038</v>
      </c>
      <c r="B22" s="309">
        <f>B26*(B29^B27)*(B31^B28)-(B29-B31)</f>
        <v>-6.295115468901713E-7</v>
      </c>
      <c r="C22" s="309">
        <f>C30*C26*(C29^C27)*(C31^C28)*(C32^(C30-1))+1</f>
        <v>-8.7196647680087835E-9</v>
      </c>
      <c r="D22" s="97" t="s">
        <v>1557</v>
      </c>
      <c r="E22" s="309" t="s">
        <v>1558</v>
      </c>
    </row>
    <row r="23" spans="1:5">
      <c r="A23" s="16" t="s">
        <v>553</v>
      </c>
      <c r="B23" s="309" t="s">
        <v>553</v>
      </c>
      <c r="C23" s="309">
        <f>C26*(C29^C27)*(C31^C28)*(C32^C30)-B26*(C29^B27)*(C31^(1-B27))+C32</f>
        <v>1.7092559545517361E-7</v>
      </c>
      <c r="D23" s="97" t="s">
        <v>1038</v>
      </c>
      <c r="E23" s="309" t="s">
        <v>1559</v>
      </c>
    </row>
    <row r="24" spans="1:5">
      <c r="A24" s="420" t="s">
        <v>1560</v>
      </c>
    </row>
    <row r="25" spans="1:5">
      <c r="A25" s="382" t="s">
        <v>50</v>
      </c>
      <c r="B25" s="5">
        <f t="array" ref="B25">SUM(ABS(B19:B22))</f>
        <v>6.579893899461009E-7</v>
      </c>
      <c r="C25" s="5">
        <f t="array" ref="C25">SUM(ABS(C19:C23))</f>
        <v>1.9208963672467938E-7</v>
      </c>
      <c r="D25" s="421">
        <f t="array" ref="D25">SUM(ABS(B25:C25))</f>
        <v>8.5007902667078028E-7</v>
      </c>
    </row>
    <row r="26" spans="1:5">
      <c r="A26" s="382" t="s">
        <v>561</v>
      </c>
      <c r="B26" s="5">
        <v>0.14814814705475093</v>
      </c>
      <c r="C26" s="5">
        <v>3.3292304811496573E-2</v>
      </c>
      <c r="D26" s="382" t="s">
        <v>560</v>
      </c>
    </row>
    <row r="27" spans="1:5">
      <c r="A27" s="16" t="s">
        <v>610</v>
      </c>
      <c r="B27" s="156">
        <v>3.00000000000523</v>
      </c>
      <c r="C27" s="5">
        <v>4.0980762113538578</v>
      </c>
      <c r="D27" s="16" t="s">
        <v>1561</v>
      </c>
    </row>
    <row r="28" spans="1:5">
      <c r="A28" s="16" t="s">
        <v>1562</v>
      </c>
      <c r="B28" s="156">
        <v>-2.0000000014743669</v>
      </c>
      <c r="C28" s="5">
        <v>-2.7320508045926193</v>
      </c>
      <c r="D28" s="16" t="s">
        <v>1563</v>
      </c>
    </row>
    <row r="29" spans="1:5">
      <c r="A29" s="382" t="s">
        <v>1564</v>
      </c>
      <c r="B29" s="422">
        <v>134.99999996656956</v>
      </c>
      <c r="C29" s="423">
        <v>126.83685009645247</v>
      </c>
      <c r="D29" s="382" t="s">
        <v>1565</v>
      </c>
    </row>
    <row r="30" spans="1:5">
      <c r="B30" t="s">
        <v>553</v>
      </c>
      <c r="C30" s="5">
        <v>-0.36602540257963467</v>
      </c>
      <c r="D30" s="16" t="s">
        <v>1566</v>
      </c>
    </row>
    <row r="31" spans="1:5">
      <c r="A31" s="420" t="s">
        <v>1567</v>
      </c>
      <c r="B31" s="307">
        <f>B4</f>
        <v>90</v>
      </c>
      <c r="C31" s="397">
        <f>C4</f>
        <v>90</v>
      </c>
      <c r="D31" s="420" t="s">
        <v>1567</v>
      </c>
    </row>
    <row r="32" spans="1:5">
      <c r="C32" s="397">
        <f>C5</f>
        <v>10</v>
      </c>
      <c r="D32" s="420" t="s">
        <v>1568</v>
      </c>
    </row>
    <row r="33" spans="1:5">
      <c r="A33" s="424" t="s">
        <v>589</v>
      </c>
      <c r="B33" s="1">
        <f>SQRT(B18)</f>
        <v>0.2</v>
      </c>
      <c r="C33" s="5">
        <f>SQRT(C18)</f>
        <v>0.44721359550089362</v>
      </c>
      <c r="D33" s="425" t="s">
        <v>589</v>
      </c>
    </row>
    <row r="34" spans="1:5">
      <c r="A34" s="16" t="s">
        <v>610</v>
      </c>
      <c r="B34" s="1">
        <f>B27</f>
        <v>3.00000000000523</v>
      </c>
      <c r="C34" s="5">
        <f>C27/B34</f>
        <v>1.3660254037822379</v>
      </c>
      <c r="D34" s="16" t="s">
        <v>1569</v>
      </c>
    </row>
    <row r="35" spans="1:5">
      <c r="A35" s="35" t="s">
        <v>1152</v>
      </c>
      <c r="B35" s="127">
        <f>IF(B3&lt;B29,B26*(B3^B27)*(B4^B28),B29-B31)</f>
        <v>18.289894577216028</v>
      </c>
      <c r="C35" s="309">
        <f>IF(C3&lt;C29,C26*(C3^C27)*(C4^C28)*(C5^C30),C3-C31-C32)</f>
        <v>10.312906066335906</v>
      </c>
      <c r="D35" s="382" t="s">
        <v>1178</v>
      </c>
      <c r="E35" s="309" t="s">
        <v>1570</v>
      </c>
    </row>
    <row r="36" spans="1:5" ht="15.75">
      <c r="A36" s="417" t="s">
        <v>1552</v>
      </c>
      <c r="B36" s="418" t="s">
        <v>1571</v>
      </c>
    </row>
    <row r="37" spans="1:5" ht="15">
      <c r="A37" s="417" t="s">
        <v>1036</v>
      </c>
      <c r="B37" s="418" t="s">
        <v>1572</v>
      </c>
    </row>
    <row r="38" spans="1:5" ht="15">
      <c r="A38" s="417" t="s">
        <v>1555</v>
      </c>
      <c r="B38" s="418" t="s">
        <v>1573</v>
      </c>
    </row>
    <row r="39" spans="1:5">
      <c r="A39" s="97" t="s">
        <v>1038</v>
      </c>
      <c r="B39" s="309" t="s">
        <v>1574</v>
      </c>
    </row>
    <row r="40" spans="1:5">
      <c r="A40" s="35" t="s">
        <v>1152</v>
      </c>
      <c r="B40" s="127" t="s">
        <v>1575</v>
      </c>
    </row>
    <row r="41" spans="1:5" ht="15">
      <c r="A41" s="16" t="s">
        <v>1551</v>
      </c>
      <c r="B41" s="415" t="s">
        <v>1576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L69"/>
  <sheetViews>
    <sheetView workbookViewId="0">
      <selection activeCell="B1" sqref="B1"/>
    </sheetView>
  </sheetViews>
  <sheetFormatPr defaultRowHeight="12.75"/>
  <cols>
    <col min="1" max="1" width="28.42578125" bestFit="1" customWidth="1"/>
  </cols>
  <sheetData>
    <row r="1" spans="1:12" ht="21">
      <c r="A1" s="324" t="s">
        <v>1092</v>
      </c>
      <c r="B1" s="325" t="s">
        <v>1509</v>
      </c>
      <c r="C1" s="250" t="s">
        <v>1510</v>
      </c>
      <c r="D1" s="326" t="s">
        <v>1094</v>
      </c>
      <c r="E1" s="327" t="s">
        <v>589</v>
      </c>
      <c r="F1" s="328" t="s">
        <v>444</v>
      </c>
      <c r="G1" s="326" t="s">
        <v>1096</v>
      </c>
      <c r="H1" s="329" t="s">
        <v>1511</v>
      </c>
      <c r="I1" s="330" t="s">
        <v>104</v>
      </c>
      <c r="J1" s="394"/>
    </row>
    <row r="2" spans="1:12" ht="15">
      <c r="A2" t="s">
        <v>1098</v>
      </c>
      <c r="B2" s="331">
        <f>L10</f>
        <v>100</v>
      </c>
      <c r="C2" s="395">
        <f>(1/($B$14-$B$3))*LN(G2/$B$2)/2</f>
        <v>3.7513074056292268</v>
      </c>
      <c r="D2" s="332">
        <v>1</v>
      </c>
      <c r="E2" s="333">
        <f>B34</f>
        <v>0.2</v>
      </c>
      <c r="F2" s="333">
        <f>B39</f>
        <v>2.9999999999999996</v>
      </c>
      <c r="G2" s="333">
        <f>B43</f>
        <v>135</v>
      </c>
      <c r="H2" s="333">
        <f>B43-B16</f>
        <v>45</v>
      </c>
      <c r="I2" s="396">
        <f>B46</f>
        <v>18.289894833104739</v>
      </c>
      <c r="J2" s="397"/>
      <c r="K2" t="str">
        <f>[15]Euro_Com_Exch!A3</f>
        <v xml:space="preserve">DEVELOPMENT TIME t' </v>
      </c>
      <c r="L2">
        <f>[15]Euro_Com_Exch!B3</f>
        <v>1</v>
      </c>
    </row>
    <row r="3" spans="1:12" ht="15">
      <c r="A3" t="s">
        <v>1512</v>
      </c>
      <c r="B3" s="331">
        <v>0</v>
      </c>
      <c r="C3" s="398">
        <f>(1/($B$14-$B$3))*LN(G3/$B$2)/2</f>
        <v>2.9716428229148164</v>
      </c>
      <c r="D3" s="332">
        <v>2</v>
      </c>
      <c r="E3" s="333">
        <f>B56</f>
        <v>0.44721359549995793</v>
      </c>
      <c r="F3" s="333">
        <f>B61</f>
        <v>1.3660254037844386</v>
      </c>
      <c r="G3" s="333">
        <f>B66</f>
        <v>126.836849606374</v>
      </c>
      <c r="H3" s="333">
        <f>B66-B16-B17</f>
        <v>26.836849606374003</v>
      </c>
      <c r="I3" s="396">
        <f>B68</f>
        <v>10.312906105764419</v>
      </c>
      <c r="J3" s="397"/>
      <c r="K3" t="str">
        <f>[15]Euro_Com_Exch!A4</f>
        <v xml:space="preserve">INVESTMENT TIME    t </v>
      </c>
      <c r="L3">
        <f>[15]Euro_Com_Exch!B4</f>
        <v>2</v>
      </c>
    </row>
    <row r="4" spans="1:12" ht="15">
      <c r="A4" t="s">
        <v>1513</v>
      </c>
      <c r="B4" s="334">
        <f>L6</f>
        <v>0.2</v>
      </c>
      <c r="D4" t="s">
        <v>1104</v>
      </c>
      <c r="J4" s="5"/>
      <c r="K4" t="str">
        <f>[15]Euro_Com_Exch!A5</f>
        <v>V YIELD</v>
      </c>
      <c r="L4">
        <f>[15]Euro_Com_Exch!B5</f>
        <v>0.04</v>
      </c>
    </row>
    <row r="5" spans="1:12" ht="15">
      <c r="A5" s="325" t="s">
        <v>1101</v>
      </c>
      <c r="B5" s="334"/>
      <c r="E5" s="331" t="s">
        <v>1</v>
      </c>
      <c r="F5" t="s">
        <v>187</v>
      </c>
      <c r="G5" t="s">
        <v>186</v>
      </c>
      <c r="H5" t="s">
        <v>553</v>
      </c>
      <c r="I5" t="s">
        <v>1107</v>
      </c>
      <c r="J5" s="5"/>
      <c r="K5" t="str">
        <f>[15]Euro_Com_Exch!A6</f>
        <v>K YIELD</v>
      </c>
      <c r="L5">
        <f>[15]Euro_Com_Exch!B6</f>
        <v>0.04</v>
      </c>
    </row>
    <row r="6" spans="1:12" ht="15">
      <c r="A6" s="354" t="s">
        <v>1514</v>
      </c>
      <c r="B6" s="331">
        <v>0.04</v>
      </c>
      <c r="D6" t="s">
        <v>1</v>
      </c>
      <c r="E6" s="334">
        <v>1</v>
      </c>
      <c r="F6" s="336">
        <f>E7</f>
        <v>0.5</v>
      </c>
      <c r="G6" s="336">
        <f>E7</f>
        <v>0.5</v>
      </c>
      <c r="H6" s="336" t="s">
        <v>553</v>
      </c>
      <c r="I6" s="336">
        <f>B20</f>
        <v>0.2</v>
      </c>
      <c r="K6" t="str">
        <f>[15]Euro_Com_Exch!A7</f>
        <v>VALUE VOLATILITY</v>
      </c>
      <c r="L6">
        <f>[15]Euro_Com_Exch!B7</f>
        <v>0.2</v>
      </c>
    </row>
    <row r="7" spans="1:12" ht="15">
      <c r="A7" t="s">
        <v>1515</v>
      </c>
      <c r="B7" s="334">
        <f>L7</f>
        <v>0.2</v>
      </c>
      <c r="D7" t="s">
        <v>187</v>
      </c>
      <c r="E7" s="334">
        <f>L8</f>
        <v>0.5</v>
      </c>
      <c r="F7" s="336">
        <f>E6</f>
        <v>1</v>
      </c>
      <c r="G7" s="336">
        <v>0</v>
      </c>
      <c r="H7" s="336" t="s">
        <v>553</v>
      </c>
      <c r="I7" s="336">
        <f>C20</f>
        <v>0.2</v>
      </c>
      <c r="K7" t="str">
        <f>[15]Euro_Com_Exch!A8</f>
        <v>K VOLATILITY</v>
      </c>
      <c r="L7">
        <f>[15]Euro_Com_Exch!B8</f>
        <v>0.2</v>
      </c>
    </row>
    <row r="8" spans="1:12" ht="15">
      <c r="A8" t="s">
        <v>1516</v>
      </c>
      <c r="B8" s="399">
        <v>0</v>
      </c>
      <c r="D8" t="s">
        <v>186</v>
      </c>
      <c r="E8" s="334">
        <f>L8</f>
        <v>0.5</v>
      </c>
      <c r="F8" s="336">
        <v>0</v>
      </c>
      <c r="G8" s="336">
        <v>1</v>
      </c>
      <c r="H8" s="336" t="s">
        <v>553</v>
      </c>
      <c r="I8" s="336">
        <f>D20</f>
        <v>0.2</v>
      </c>
      <c r="K8" t="str">
        <f>[15]Euro_Com_Exch!A9</f>
        <v>CORRELATION</v>
      </c>
      <c r="L8">
        <f>[15]Euro_Com_Exch!B9</f>
        <v>0.5</v>
      </c>
    </row>
    <row r="9" spans="1:12" ht="15">
      <c r="A9" s="325" t="s">
        <v>1108</v>
      </c>
      <c r="B9" s="400"/>
      <c r="D9" s="401" t="s">
        <v>1517</v>
      </c>
      <c r="J9" s="336"/>
      <c r="K9" t="str">
        <f>[15]Euro_Com_Exch!A10</f>
        <v>EXCHANGE VOLATILITY</v>
      </c>
      <c r="L9">
        <f>[15]Euro_Com_Exch!B10</f>
        <v>0.2</v>
      </c>
    </row>
    <row r="10" spans="1:12" ht="15.75">
      <c r="A10" s="354" t="s">
        <v>1518</v>
      </c>
      <c r="B10" s="400">
        <v>0.04</v>
      </c>
      <c r="C10" s="302" t="s">
        <v>1519</v>
      </c>
      <c r="D10" s="331"/>
      <c r="E10" s="398" t="s">
        <v>1520</v>
      </c>
      <c r="F10" s="336"/>
      <c r="G10" s="336"/>
      <c r="H10" s="336"/>
      <c r="I10" s="336"/>
      <c r="J10" s="336"/>
      <c r="K10" t="str">
        <f>[15]Euro_Com_Exch!A11</f>
        <v xml:space="preserve">V </v>
      </c>
      <c r="L10">
        <f>[15]Euro_Com_Exch!B11</f>
        <v>100</v>
      </c>
    </row>
    <row r="11" spans="1:12" ht="15">
      <c r="A11" t="s">
        <v>1521</v>
      </c>
      <c r="B11" s="400">
        <f>B7</f>
        <v>0.2</v>
      </c>
      <c r="J11" s="336"/>
      <c r="K11" t="str">
        <f>[15]Euro_Com_Exch!A12</f>
        <v>D</v>
      </c>
      <c r="L11">
        <f>[15]Euro_Com_Exch!B12</f>
        <v>10</v>
      </c>
    </row>
    <row r="12" spans="1:12" ht="15">
      <c r="A12" t="s">
        <v>1516</v>
      </c>
      <c r="B12" s="399">
        <v>0.05</v>
      </c>
      <c r="J12" s="336"/>
      <c r="K12" t="str">
        <f>[15]Euro_Com_Exch!A13</f>
        <v>K</v>
      </c>
      <c r="L12">
        <f>[15]Euro_Com_Exch!B13</f>
        <v>90</v>
      </c>
    </row>
    <row r="13" spans="1:12" ht="15">
      <c r="A13" t="s">
        <v>553</v>
      </c>
      <c r="B13" s="400"/>
      <c r="J13" s="336"/>
    </row>
    <row r="14" spans="1:12" ht="15">
      <c r="A14" t="s">
        <v>1115</v>
      </c>
      <c r="B14" s="400">
        <v>0.04</v>
      </c>
    </row>
    <row r="15" spans="1:12" ht="15">
      <c r="A15" s="325" t="s">
        <v>1116</v>
      </c>
    </row>
    <row r="16" spans="1:12" ht="15">
      <c r="A16" t="s">
        <v>1117</v>
      </c>
      <c r="B16" s="331">
        <v>90</v>
      </c>
    </row>
    <row r="17" spans="1:10" ht="15">
      <c r="A17" t="s">
        <v>1118</v>
      </c>
      <c r="B17" s="331">
        <v>10</v>
      </c>
    </row>
    <row r="18" spans="1:10" ht="15">
      <c r="A18" t="s">
        <v>553</v>
      </c>
      <c r="B18" s="331" t="s">
        <v>553</v>
      </c>
    </row>
    <row r="19" spans="1:10" ht="15">
      <c r="A19" s="337" t="s">
        <v>1120</v>
      </c>
    </row>
    <row r="20" spans="1:10">
      <c r="A20" t="s">
        <v>1107</v>
      </c>
      <c r="B20" s="336">
        <f>B4</f>
        <v>0.2</v>
      </c>
      <c r="C20" s="336">
        <f>B7</f>
        <v>0.2</v>
      </c>
      <c r="D20" s="336">
        <f>B11</f>
        <v>0.2</v>
      </c>
      <c r="E20" s="336" t="s">
        <v>553</v>
      </c>
      <c r="F20" s="336" t="s">
        <v>553</v>
      </c>
    </row>
    <row r="21" spans="1:10">
      <c r="A21" t="s">
        <v>1121</v>
      </c>
      <c r="H21" s="338" t="s">
        <v>553</v>
      </c>
      <c r="I21" s="338" t="s">
        <v>553</v>
      </c>
      <c r="J21" s="338"/>
    </row>
    <row r="22" spans="1:10">
      <c r="A22" t="s">
        <v>1</v>
      </c>
      <c r="B22" s="1">
        <f t="shared" ref="B22:D24" si="0">E6*B$20*$I6</f>
        <v>4.0000000000000008E-2</v>
      </c>
      <c r="C22" s="1">
        <f t="shared" si="0"/>
        <v>2.0000000000000004E-2</v>
      </c>
      <c r="D22" s="1">
        <f t="shared" si="0"/>
        <v>2.0000000000000004E-2</v>
      </c>
      <c r="E22" s="1" t="s">
        <v>553</v>
      </c>
      <c r="F22" s="1" t="s">
        <v>553</v>
      </c>
      <c r="H22" s="338" t="s">
        <v>553</v>
      </c>
      <c r="I22" s="338" t="s">
        <v>553</v>
      </c>
      <c r="J22" s="338"/>
    </row>
    <row r="23" spans="1:10">
      <c r="A23" t="s">
        <v>187</v>
      </c>
      <c r="B23" s="1">
        <f t="shared" si="0"/>
        <v>2.0000000000000004E-2</v>
      </c>
      <c r="C23" s="1">
        <f t="shared" si="0"/>
        <v>4.0000000000000008E-2</v>
      </c>
      <c r="D23" s="1">
        <f t="shared" si="0"/>
        <v>0</v>
      </c>
      <c r="E23" s="1" t="s">
        <v>553</v>
      </c>
      <c r="F23" s="1" t="s">
        <v>553</v>
      </c>
    </row>
    <row r="24" spans="1:10">
      <c r="A24" t="s">
        <v>186</v>
      </c>
      <c r="B24" s="1">
        <f t="shared" si="0"/>
        <v>2.0000000000000004E-2</v>
      </c>
      <c r="C24" s="1">
        <f t="shared" si="0"/>
        <v>0</v>
      </c>
      <c r="D24" s="1">
        <f t="shared" si="0"/>
        <v>4.0000000000000008E-2</v>
      </c>
      <c r="E24" s="1" t="s">
        <v>553</v>
      </c>
      <c r="F24" s="1" t="s">
        <v>553</v>
      </c>
    </row>
    <row r="25" spans="1:10">
      <c r="A25" t="s">
        <v>553</v>
      </c>
      <c r="B25" s="1" t="s">
        <v>553</v>
      </c>
      <c r="C25" s="1" t="s">
        <v>553</v>
      </c>
      <c r="D25" s="1" t="s">
        <v>553</v>
      </c>
      <c r="E25" s="1" t="s">
        <v>553</v>
      </c>
      <c r="F25" s="1" t="s">
        <v>553</v>
      </c>
    </row>
    <row r="26" spans="1:10" ht="15">
      <c r="A26" s="337" t="s">
        <v>1122</v>
      </c>
    </row>
    <row r="27" spans="1:10" ht="15">
      <c r="A27" s="325" t="s">
        <v>1101</v>
      </c>
    </row>
    <row r="28" spans="1:10">
      <c r="A28" t="s">
        <v>34</v>
      </c>
      <c r="B28">
        <v>1</v>
      </c>
      <c r="C28" t="s">
        <v>1123</v>
      </c>
    </row>
    <row r="29" spans="1:10">
      <c r="B29">
        <v>-1</v>
      </c>
    </row>
    <row r="30" spans="1:10">
      <c r="A30" t="s">
        <v>1124</v>
      </c>
      <c r="B30">
        <f t="array" ref="B30:C30">TRANSPOSE(B28:B29)</f>
        <v>1</v>
      </c>
      <c r="C30">
        <v>-1</v>
      </c>
      <c r="D30" t="s">
        <v>553</v>
      </c>
    </row>
    <row r="31" spans="1:10">
      <c r="A31" t="s">
        <v>1126</v>
      </c>
      <c r="B31" s="1">
        <f t="array" ref="B31:B32">MMULT(B22:C23,B28:B29)</f>
        <v>2.0000000000000004E-2</v>
      </c>
      <c r="C31" t="s">
        <v>553</v>
      </c>
    </row>
    <row r="32" spans="1:10">
      <c r="B32" s="1">
        <v>-2.0000000000000004E-2</v>
      </c>
    </row>
    <row r="33" spans="1:3">
      <c r="A33" t="s">
        <v>1128</v>
      </c>
      <c r="B33" s="1">
        <f>MMULT(B30:C30,B31:B32)</f>
        <v>4.0000000000000008E-2</v>
      </c>
      <c r="C33" t="s">
        <v>553</v>
      </c>
    </row>
    <row r="34" spans="1:3">
      <c r="A34" t="s">
        <v>1130</v>
      </c>
      <c r="B34" s="1">
        <f>SQRT(B33)</f>
        <v>0.2</v>
      </c>
      <c r="C34" s="1" t="s">
        <v>553</v>
      </c>
    </row>
    <row r="35" spans="1:3">
      <c r="A35" t="s">
        <v>1132</v>
      </c>
      <c r="B35">
        <f>B3-B6</f>
        <v>-0.04</v>
      </c>
      <c r="C35" t="s">
        <v>553</v>
      </c>
    </row>
    <row r="36" spans="1:3">
      <c r="A36" t="s">
        <v>1134</v>
      </c>
      <c r="B36" s="336">
        <f>B14+B8-B6</f>
        <v>0</v>
      </c>
      <c r="C36" s="336" t="s">
        <v>553</v>
      </c>
    </row>
    <row r="37" spans="1:3">
      <c r="A37" t="s">
        <v>1136</v>
      </c>
      <c r="B37" s="1">
        <f>0.5-B35/B33</f>
        <v>1.4999999999999998</v>
      </c>
      <c r="C37" s="1" t="s">
        <v>553</v>
      </c>
    </row>
    <row r="38" spans="1:3">
      <c r="A38" t="s">
        <v>1138</v>
      </c>
      <c r="B38" s="1">
        <f>B37^2+2*B36/B33</f>
        <v>2.2499999999999991</v>
      </c>
      <c r="C38" s="1" t="s">
        <v>553</v>
      </c>
    </row>
    <row r="39" spans="1:3">
      <c r="A39" t="s">
        <v>1140</v>
      </c>
      <c r="B39" s="1">
        <f>B37+SQRT(B38)</f>
        <v>2.9999999999999996</v>
      </c>
      <c r="C39" s="1" t="s">
        <v>553</v>
      </c>
    </row>
    <row r="40" spans="1:3">
      <c r="A40" t="s">
        <v>1142</v>
      </c>
      <c r="B40" s="1">
        <f>B39/(B39-1)</f>
        <v>1.5</v>
      </c>
      <c r="C40" s="1" t="s">
        <v>553</v>
      </c>
    </row>
    <row r="41" spans="1:3">
      <c r="A41" s="1" t="s">
        <v>1144</v>
      </c>
      <c r="B41" s="1">
        <f>B39</f>
        <v>2.9999999999999996</v>
      </c>
      <c r="C41" s="1" t="s">
        <v>553</v>
      </c>
    </row>
    <row r="42" spans="1:3">
      <c r="A42" t="s">
        <v>1146</v>
      </c>
      <c r="B42" s="1">
        <f>1-B41</f>
        <v>-1.9999999999999996</v>
      </c>
      <c r="C42" s="1" t="s">
        <v>553</v>
      </c>
    </row>
    <row r="43" spans="1:3">
      <c r="A43" t="s">
        <v>1148</v>
      </c>
      <c r="B43" s="1">
        <f>B40*B16</f>
        <v>135</v>
      </c>
      <c r="C43" s="1" t="s">
        <v>1522</v>
      </c>
    </row>
    <row r="44" spans="1:3">
      <c r="A44" t="s">
        <v>561</v>
      </c>
      <c r="B44" s="1">
        <f>((B39-1)^(B39-1))/(B39^B39)</f>
        <v>0.14814814814814817</v>
      </c>
      <c r="C44" s="1" t="s">
        <v>1523</v>
      </c>
    </row>
    <row r="45" spans="1:3">
      <c r="A45" t="s">
        <v>1151</v>
      </c>
      <c r="B45" s="1">
        <f>B39/(B39-1)</f>
        <v>1.5</v>
      </c>
      <c r="C45" s="1" t="s">
        <v>1524</v>
      </c>
    </row>
    <row r="46" spans="1:3">
      <c r="A46" t="s">
        <v>1152</v>
      </c>
      <c r="B46" s="1">
        <f>IF(B2&lt;B43,B44*(B2^B41)*(B16^B42),MAX(B43-B16,0))</f>
        <v>18.289894833104739</v>
      </c>
      <c r="C46" s="1" t="s">
        <v>1525</v>
      </c>
    </row>
    <row r="47" spans="1:3" ht="15">
      <c r="A47" s="325" t="s">
        <v>1108</v>
      </c>
    </row>
    <row r="48" spans="1:3">
      <c r="A48" t="s">
        <v>34</v>
      </c>
      <c r="B48" s="1">
        <f>B39</f>
        <v>2.9999999999999996</v>
      </c>
      <c r="C48" t="s">
        <v>1154</v>
      </c>
    </row>
    <row r="49" spans="1:6">
      <c r="B49" s="1">
        <f>1-B39</f>
        <v>-1.9999999999999996</v>
      </c>
    </row>
    <row r="50" spans="1:6">
      <c r="B50" s="1">
        <v>-1</v>
      </c>
    </row>
    <row r="51" spans="1:6">
      <c r="A51" t="s">
        <v>1155</v>
      </c>
      <c r="B51" s="1">
        <f t="array" ref="B51:D51">TRANSPOSE(B48:B50)</f>
        <v>2.9999999999999996</v>
      </c>
      <c r="C51" s="1">
        <v>-1.9999999999999996</v>
      </c>
      <c r="D51" s="1">
        <v>-1</v>
      </c>
    </row>
    <row r="52" spans="1:6">
      <c r="A52" t="s">
        <v>1126</v>
      </c>
      <c r="B52" s="1">
        <f t="array" ref="B52:B54">MMULT(B22:D24,B48:B50)</f>
        <v>6.0000000000000012E-2</v>
      </c>
    </row>
    <row r="53" spans="1:6">
      <c r="B53" s="1">
        <v>-1.9999999999999997E-2</v>
      </c>
    </row>
    <row r="54" spans="1:6">
      <c r="B54" s="1">
        <v>1.9999999999999997E-2</v>
      </c>
    </row>
    <row r="55" spans="1:6">
      <c r="A55" t="s">
        <v>1156</v>
      </c>
      <c r="B55" s="1">
        <f>MMULT(B51:D51,B52:B54)</f>
        <v>0.2</v>
      </c>
      <c r="C55" s="1" t="s">
        <v>553</v>
      </c>
    </row>
    <row r="56" spans="1:6">
      <c r="A56" t="s">
        <v>1158</v>
      </c>
      <c r="B56" s="1">
        <f>SQRT(B55)</f>
        <v>0.44721359549995793</v>
      </c>
      <c r="C56" s="1" t="s">
        <v>553</v>
      </c>
    </row>
    <row r="57" spans="1:6">
      <c r="A57" t="s">
        <v>1160</v>
      </c>
      <c r="B57" s="336">
        <f>B14+B8-B10</f>
        <v>0</v>
      </c>
      <c r="C57" s="336" t="s">
        <v>553</v>
      </c>
    </row>
    <row r="58" spans="1:6">
      <c r="A58" t="s">
        <v>1162</v>
      </c>
      <c r="B58" s="336">
        <f>B14+B12-B10</f>
        <v>4.9999999999999996E-2</v>
      </c>
      <c r="C58" s="336" t="s">
        <v>553</v>
      </c>
    </row>
    <row r="59" spans="1:6">
      <c r="A59" t="s">
        <v>1136</v>
      </c>
      <c r="B59" s="1">
        <f>0.5-B57/B55</f>
        <v>0.5</v>
      </c>
      <c r="C59" s="1" t="s">
        <v>553</v>
      </c>
    </row>
    <row r="60" spans="1:6">
      <c r="A60" t="s">
        <v>1138</v>
      </c>
      <c r="B60" s="1">
        <f>B59^2+2*B58/B55</f>
        <v>0.75</v>
      </c>
      <c r="C60" s="1" t="s">
        <v>553</v>
      </c>
    </row>
    <row r="61" spans="1:6">
      <c r="A61" t="s">
        <v>1166</v>
      </c>
      <c r="B61" s="1">
        <f>B59+SQRT(B60)</f>
        <v>1.3660254037844386</v>
      </c>
      <c r="C61" s="1" t="s">
        <v>553</v>
      </c>
    </row>
    <row r="62" spans="1:6">
      <c r="A62" t="s">
        <v>558</v>
      </c>
      <c r="B62" s="1">
        <f>((B61-1)^(B61-1))/(B61^B61)</f>
        <v>0.45205772181557807</v>
      </c>
      <c r="C62" s="1" t="s">
        <v>1526</v>
      </c>
      <c r="F62" s="1"/>
    </row>
    <row r="63" spans="1:6">
      <c r="A63" t="s">
        <v>1169</v>
      </c>
      <c r="B63" s="1">
        <f>B61*B41</f>
        <v>4.0980762113533151</v>
      </c>
      <c r="C63" s="1" t="s">
        <v>553</v>
      </c>
      <c r="F63" s="1"/>
    </row>
    <row r="64" spans="1:6">
      <c r="A64" t="s">
        <v>1171</v>
      </c>
      <c r="B64" s="1">
        <f>B61*B42</f>
        <v>-2.7320508075688767</v>
      </c>
      <c r="C64" s="1" t="s">
        <v>553</v>
      </c>
      <c r="F64" s="1"/>
    </row>
    <row r="65" spans="1:6">
      <c r="A65" t="s">
        <v>1173</v>
      </c>
      <c r="B65" s="1">
        <f>1-B61</f>
        <v>-0.3660254037844386</v>
      </c>
      <c r="C65" s="1" t="s">
        <v>553</v>
      </c>
      <c r="F65" s="1"/>
    </row>
    <row r="66" spans="1:6">
      <c r="A66" t="s">
        <v>1175</v>
      </c>
      <c r="B66" s="1">
        <f>((B61*(B16^(B39-1))*B17)/(B44*(B61-1)))^(1/B39)</f>
        <v>126.836849606374</v>
      </c>
      <c r="C66" s="1" t="s">
        <v>1527</v>
      </c>
      <c r="D66" s="1"/>
    </row>
    <row r="67" spans="1:6">
      <c r="A67" t="s">
        <v>560</v>
      </c>
      <c r="B67" s="1">
        <f>B62*B44^B61</f>
        <v>3.3292305477092277E-2</v>
      </c>
      <c r="C67" s="1" t="s">
        <v>1528</v>
      </c>
      <c r="D67" s="1"/>
    </row>
    <row r="68" spans="1:6">
      <c r="A68" t="s">
        <v>1178</v>
      </c>
      <c r="B68" s="1">
        <f>IF($B$2&lt;B66,B67*($B$2^B63)*($B$16^B64)*($B$17^B65),MAX(B36-B16,0))</f>
        <v>10.312906105764419</v>
      </c>
      <c r="C68" s="1" t="s">
        <v>1529</v>
      </c>
      <c r="D68" s="1"/>
    </row>
    <row r="69" spans="1:6">
      <c r="A69" t="s">
        <v>1180</v>
      </c>
      <c r="B69" s="1">
        <f>(B61/(B44*(B61-1)))^(1/B41)</f>
        <v>2.9314586559231772</v>
      </c>
      <c r="C69" s="1" t="s">
        <v>553</v>
      </c>
      <c r="D69" s="1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J102"/>
  <sheetViews>
    <sheetView workbookViewId="0">
      <selection activeCell="A21" sqref="A1:J21"/>
    </sheetView>
  </sheetViews>
  <sheetFormatPr defaultRowHeight="12.75"/>
  <cols>
    <col min="1" max="1" width="28.42578125" bestFit="1" customWidth="1"/>
    <col min="10" max="10" width="10.28515625" customWidth="1"/>
  </cols>
  <sheetData>
    <row r="1" spans="1:10" ht="21">
      <c r="A1" s="324" t="s">
        <v>1092</v>
      </c>
      <c r="B1" s="325" t="s">
        <v>1093</v>
      </c>
      <c r="D1" s="326" t="s">
        <v>1094</v>
      </c>
      <c r="E1" s="327" t="s">
        <v>589</v>
      </c>
      <c r="F1" s="328" t="s">
        <v>444</v>
      </c>
      <c r="G1" s="326" t="s">
        <v>1095</v>
      </c>
      <c r="H1" s="326" t="s">
        <v>1096</v>
      </c>
      <c r="I1" s="329" t="s">
        <v>1097</v>
      </c>
      <c r="J1" s="330" t="s">
        <v>104</v>
      </c>
    </row>
    <row r="2" spans="1:10" ht="15">
      <c r="A2" t="s">
        <v>1098</v>
      </c>
      <c r="B2" s="331">
        <v>100</v>
      </c>
      <c r="D2" s="332">
        <v>1</v>
      </c>
      <c r="E2" s="333">
        <f>B37</f>
        <v>0.22360679774997899</v>
      </c>
      <c r="F2" s="333">
        <f>B42</f>
        <v>1.5177446878757825</v>
      </c>
      <c r="G2" s="333">
        <f>B48</f>
        <v>2.931453906563152</v>
      </c>
      <c r="H2" s="333">
        <f>B46</f>
        <v>586.29078131263043</v>
      </c>
      <c r="I2" s="333">
        <f>B46-B19</f>
        <v>386.29078131263043</v>
      </c>
      <c r="J2" s="333">
        <f>B49</f>
        <v>26.370284734540082</v>
      </c>
    </row>
    <row r="3" spans="1:10" ht="15">
      <c r="A3" t="s">
        <v>1099</v>
      </c>
      <c r="B3" s="331">
        <v>0.02</v>
      </c>
      <c r="D3" s="332">
        <v>2</v>
      </c>
      <c r="E3" s="333">
        <f>B59</f>
        <v>0.323763112663012</v>
      </c>
      <c r="F3" s="333">
        <f>B64</f>
        <v>1.4044937329468408</v>
      </c>
      <c r="G3" s="333">
        <f>B73</f>
        <v>1.3845949846085628</v>
      </c>
      <c r="H3" s="333">
        <f>B69</f>
        <v>346.14874615214069</v>
      </c>
      <c r="I3" s="333">
        <f>B69-B19-B20</f>
        <v>96.148746152140689</v>
      </c>
      <c r="J3" s="333">
        <f>B71</f>
        <v>8.7605582371672845</v>
      </c>
    </row>
    <row r="4" spans="1:10" ht="15">
      <c r="A4" t="s">
        <v>1100</v>
      </c>
      <c r="B4" s="334">
        <v>0.2</v>
      </c>
      <c r="D4" s="332">
        <v>3</v>
      </c>
      <c r="E4" s="333">
        <f>B86</f>
        <v>0.44573912883731792</v>
      </c>
      <c r="F4" s="333">
        <f>B91</f>
        <v>1.2254873041067642</v>
      </c>
      <c r="G4" s="333">
        <f>B101</f>
        <v>0.90547156853644073</v>
      </c>
      <c r="H4" s="333">
        <f>B97</f>
        <v>235.42260781947459</v>
      </c>
      <c r="I4" s="333">
        <f>B97-B19-B20-B21</f>
        <v>-24.577392180525408</v>
      </c>
      <c r="J4" s="333">
        <f>B99</f>
        <v>4.7368467995495829</v>
      </c>
    </row>
    <row r="5" spans="1:10" ht="15">
      <c r="A5" t="s">
        <v>1101</v>
      </c>
      <c r="B5" s="334"/>
      <c r="D5" s="335"/>
      <c r="E5" s="5"/>
      <c r="F5" s="5"/>
      <c r="G5" s="5"/>
      <c r="H5" s="5"/>
      <c r="I5" s="5"/>
      <c r="J5" s="5"/>
    </row>
    <row r="6" spans="1:10" ht="15">
      <c r="A6" t="s">
        <v>1102</v>
      </c>
      <c r="B6" s="331">
        <v>0</v>
      </c>
    </row>
    <row r="7" spans="1:10" ht="15">
      <c r="A7" t="s">
        <v>1103</v>
      </c>
      <c r="B7" s="334">
        <v>0.1</v>
      </c>
      <c r="D7" t="s">
        <v>1104</v>
      </c>
    </row>
    <row r="8" spans="1:10" ht="15">
      <c r="A8" t="s">
        <v>1105</v>
      </c>
      <c r="B8" s="334">
        <v>0</v>
      </c>
      <c r="E8" s="331" t="s">
        <v>1</v>
      </c>
      <c r="F8" t="s">
        <v>187</v>
      </c>
      <c r="G8" t="s">
        <v>186</v>
      </c>
      <c r="H8" t="s">
        <v>1106</v>
      </c>
      <c r="I8" t="s">
        <v>553</v>
      </c>
      <c r="J8" t="s">
        <v>1107</v>
      </c>
    </row>
    <row r="9" spans="1:10" ht="15">
      <c r="A9" t="s">
        <v>1108</v>
      </c>
      <c r="B9" s="331"/>
      <c r="D9" t="s">
        <v>1</v>
      </c>
      <c r="E9" s="334">
        <v>1</v>
      </c>
      <c r="F9" s="336">
        <f>E10</f>
        <v>0</v>
      </c>
      <c r="G9" s="336">
        <f>E10</f>
        <v>0</v>
      </c>
      <c r="H9" s="336">
        <f>E10</f>
        <v>0</v>
      </c>
      <c r="I9" s="336" t="s">
        <v>553</v>
      </c>
      <c r="J9" s="336">
        <f>B23</f>
        <v>0.2</v>
      </c>
    </row>
    <row r="10" spans="1:10" ht="15">
      <c r="A10" t="s">
        <v>1109</v>
      </c>
      <c r="B10" s="331">
        <v>0</v>
      </c>
      <c r="D10" t="s">
        <v>187</v>
      </c>
      <c r="E10" s="334">
        <v>0</v>
      </c>
      <c r="F10" s="336">
        <f>E9</f>
        <v>1</v>
      </c>
      <c r="G10" s="336">
        <v>0</v>
      </c>
      <c r="H10" s="336">
        <v>0</v>
      </c>
      <c r="I10" s="336" t="s">
        <v>553</v>
      </c>
      <c r="J10" s="336">
        <f>C23</f>
        <v>0.1</v>
      </c>
    </row>
    <row r="11" spans="1:10" ht="15">
      <c r="A11" t="s">
        <v>1110</v>
      </c>
      <c r="B11" s="334">
        <f>B7</f>
        <v>0.1</v>
      </c>
      <c r="D11" t="s">
        <v>186</v>
      </c>
      <c r="E11" s="334">
        <f>E10</f>
        <v>0</v>
      </c>
      <c r="F11" s="336">
        <v>0</v>
      </c>
      <c r="G11" s="336">
        <f>E9</f>
        <v>1</v>
      </c>
      <c r="H11" s="336">
        <v>0</v>
      </c>
      <c r="I11" s="336" t="s">
        <v>553</v>
      </c>
      <c r="J11" s="336">
        <f>D23</f>
        <v>0.1</v>
      </c>
    </row>
    <row r="12" spans="1:10" ht="15">
      <c r="A12" t="s">
        <v>1105</v>
      </c>
      <c r="B12" s="334">
        <v>0.05</v>
      </c>
      <c r="D12" t="s">
        <v>1106</v>
      </c>
      <c r="E12" s="334">
        <f>E10</f>
        <v>0</v>
      </c>
      <c r="F12" s="336">
        <v>0</v>
      </c>
      <c r="G12" s="336">
        <v>0</v>
      </c>
      <c r="H12" s="336">
        <f>E9</f>
        <v>1</v>
      </c>
      <c r="I12" s="336" t="s">
        <v>553</v>
      </c>
      <c r="J12" s="336">
        <f>E23</f>
        <v>0.1</v>
      </c>
    </row>
    <row r="13" spans="1:10" ht="15">
      <c r="A13" t="s">
        <v>1111</v>
      </c>
      <c r="B13" s="331"/>
      <c r="D13" t="s">
        <v>1112</v>
      </c>
      <c r="E13" s="336"/>
      <c r="F13" s="336"/>
      <c r="G13" s="336"/>
      <c r="H13" s="336"/>
      <c r="I13" s="336"/>
    </row>
    <row r="14" spans="1:10" ht="15">
      <c r="A14" t="s">
        <v>1113</v>
      </c>
      <c r="B14" s="331">
        <v>0</v>
      </c>
    </row>
    <row r="15" spans="1:10" ht="15">
      <c r="A15" t="s">
        <v>1114</v>
      </c>
      <c r="B15" s="334">
        <f>B7</f>
        <v>0.1</v>
      </c>
    </row>
    <row r="16" spans="1:10" ht="15">
      <c r="A16" t="s">
        <v>1115</v>
      </c>
      <c r="B16" s="334">
        <v>0.05</v>
      </c>
    </row>
    <row r="17" spans="1:10" ht="15">
      <c r="A17" t="s">
        <v>1105</v>
      </c>
      <c r="B17" s="334">
        <v>0.1</v>
      </c>
    </row>
    <row r="18" spans="1:10" ht="15">
      <c r="A18" s="325" t="s">
        <v>1116</v>
      </c>
      <c r="B18" s="331"/>
    </row>
    <row r="19" spans="1:10" ht="15">
      <c r="A19" t="s">
        <v>1117</v>
      </c>
      <c r="B19" s="331">
        <v>200</v>
      </c>
    </row>
    <row r="20" spans="1:10" ht="15">
      <c r="A20" t="s">
        <v>1118</v>
      </c>
      <c r="B20" s="331">
        <v>50</v>
      </c>
    </row>
    <row r="21" spans="1:10" ht="15">
      <c r="A21" t="s">
        <v>1119</v>
      </c>
      <c r="B21" s="331">
        <v>10</v>
      </c>
    </row>
    <row r="22" spans="1:10" ht="15">
      <c r="A22" s="337" t="s">
        <v>1120</v>
      </c>
    </row>
    <row r="23" spans="1:10">
      <c r="A23" t="s">
        <v>1107</v>
      </c>
      <c r="B23" s="336">
        <f>B4</f>
        <v>0.2</v>
      </c>
      <c r="C23" s="336">
        <f>B7</f>
        <v>0.1</v>
      </c>
      <c r="D23" s="336">
        <f>B11</f>
        <v>0.1</v>
      </c>
      <c r="E23" s="336">
        <f>B15</f>
        <v>0.1</v>
      </c>
      <c r="F23" s="336" t="s">
        <v>553</v>
      </c>
    </row>
    <row r="24" spans="1:10">
      <c r="A24" t="s">
        <v>1121</v>
      </c>
      <c r="H24" s="338" t="s">
        <v>553</v>
      </c>
      <c r="I24" s="338" t="s">
        <v>553</v>
      </c>
      <c r="J24" s="338" t="s">
        <v>553</v>
      </c>
    </row>
    <row r="25" spans="1:10">
      <c r="A25" t="s">
        <v>1</v>
      </c>
      <c r="B25" s="1">
        <f t="shared" ref="B25:E28" si="0">E9*B$23*$J9</f>
        <v>4.0000000000000008E-2</v>
      </c>
      <c r="C25" s="1">
        <f t="shared" si="0"/>
        <v>0</v>
      </c>
      <c r="D25" s="1">
        <f t="shared" si="0"/>
        <v>0</v>
      </c>
      <c r="E25" s="1">
        <f t="shared" si="0"/>
        <v>0</v>
      </c>
      <c r="F25" s="1" t="s">
        <v>553</v>
      </c>
      <c r="H25" s="338" t="s">
        <v>553</v>
      </c>
      <c r="I25" s="338" t="s">
        <v>553</v>
      </c>
      <c r="J25" s="338" t="s">
        <v>553</v>
      </c>
    </row>
    <row r="26" spans="1:10">
      <c r="A26" t="s">
        <v>187</v>
      </c>
      <c r="B26" s="1">
        <f t="shared" si="0"/>
        <v>0</v>
      </c>
      <c r="C26" s="1">
        <f t="shared" si="0"/>
        <v>1.0000000000000002E-2</v>
      </c>
      <c r="D26" s="1">
        <f t="shared" si="0"/>
        <v>0</v>
      </c>
      <c r="E26" s="1">
        <f t="shared" si="0"/>
        <v>0</v>
      </c>
      <c r="F26" s="1" t="s">
        <v>553</v>
      </c>
    </row>
    <row r="27" spans="1:10">
      <c r="A27" t="s">
        <v>186</v>
      </c>
      <c r="B27" s="1">
        <f t="shared" si="0"/>
        <v>0</v>
      </c>
      <c r="C27" s="1">
        <f t="shared" si="0"/>
        <v>0</v>
      </c>
      <c r="D27" s="1">
        <f t="shared" si="0"/>
        <v>1.0000000000000002E-2</v>
      </c>
      <c r="E27" s="1">
        <f t="shared" si="0"/>
        <v>0</v>
      </c>
      <c r="F27" s="1" t="s">
        <v>553</v>
      </c>
    </row>
    <row r="28" spans="1:10">
      <c r="A28" t="s">
        <v>1106</v>
      </c>
      <c r="B28" s="1">
        <f t="shared" si="0"/>
        <v>0</v>
      </c>
      <c r="C28" s="1">
        <f t="shared" si="0"/>
        <v>0</v>
      </c>
      <c r="D28" s="1">
        <f t="shared" si="0"/>
        <v>0</v>
      </c>
      <c r="E28" s="1">
        <f t="shared" si="0"/>
        <v>1.0000000000000002E-2</v>
      </c>
      <c r="F28" s="1" t="s">
        <v>553</v>
      </c>
    </row>
    <row r="29" spans="1:10" ht="15">
      <c r="A29" s="337" t="s">
        <v>1122</v>
      </c>
    </row>
    <row r="30" spans="1:10" ht="15">
      <c r="A30" s="325" t="s">
        <v>1101</v>
      </c>
    </row>
    <row r="31" spans="1:10">
      <c r="A31" t="s">
        <v>34</v>
      </c>
      <c r="B31">
        <v>1</v>
      </c>
      <c r="C31" t="s">
        <v>1123</v>
      </c>
    </row>
    <row r="32" spans="1:10">
      <c r="B32">
        <v>-1</v>
      </c>
    </row>
    <row r="33" spans="1:4">
      <c r="A33" t="s">
        <v>1124</v>
      </c>
      <c r="B33">
        <f t="array" ref="B33:C33">TRANSPOSE(B31:B32)</f>
        <v>1</v>
      </c>
      <c r="C33">
        <v>-1</v>
      </c>
      <c r="D33" t="s">
        <v>1125</v>
      </c>
    </row>
    <row r="34" spans="1:4">
      <c r="A34" t="s">
        <v>1126</v>
      </c>
      <c r="B34" s="1">
        <f t="array" ref="B34:B35">MMULT(B25:C26,B31:B32)</f>
        <v>4.0000000000000008E-2</v>
      </c>
      <c r="C34" t="s">
        <v>1127</v>
      </c>
    </row>
    <row r="35" spans="1:4">
      <c r="B35" s="1">
        <v>-1.0000000000000002E-2</v>
      </c>
    </row>
    <row r="36" spans="1:4">
      <c r="A36" t="s">
        <v>1128</v>
      </c>
      <c r="B36" s="1">
        <f>MMULT(B33:C33,B34:B35)</f>
        <v>5.000000000000001E-2</v>
      </c>
      <c r="C36" t="s">
        <v>1129</v>
      </c>
    </row>
    <row r="37" spans="1:4">
      <c r="A37" t="s">
        <v>1130</v>
      </c>
      <c r="B37" s="1">
        <f>SQRT(B36)</f>
        <v>0.22360679774997899</v>
      </c>
      <c r="C37" s="1" t="s">
        <v>1131</v>
      </c>
    </row>
    <row r="38" spans="1:4">
      <c r="A38" t="s">
        <v>1132</v>
      </c>
      <c r="B38">
        <f>B3-B6</f>
        <v>0.02</v>
      </c>
      <c r="C38" t="s">
        <v>1133</v>
      </c>
    </row>
    <row r="39" spans="1:4">
      <c r="A39" t="s">
        <v>1134</v>
      </c>
      <c r="B39" s="336">
        <f>B16+B8-B6</f>
        <v>0.05</v>
      </c>
      <c r="C39" s="336" t="s">
        <v>1135</v>
      </c>
    </row>
    <row r="40" spans="1:4">
      <c r="A40" t="s">
        <v>1136</v>
      </c>
      <c r="B40" s="1">
        <f>0.5-B38/B36</f>
        <v>0.10000000000000009</v>
      </c>
      <c r="C40" s="1" t="s">
        <v>1137</v>
      </c>
    </row>
    <row r="41" spans="1:4">
      <c r="A41" t="s">
        <v>1138</v>
      </c>
      <c r="B41" s="1">
        <f>B40^2+2*B39/B36</f>
        <v>2.0099999999999998</v>
      </c>
      <c r="C41" s="1" t="s">
        <v>1139</v>
      </c>
    </row>
    <row r="42" spans="1:4">
      <c r="A42" t="s">
        <v>1140</v>
      </c>
      <c r="B42" s="1">
        <f>B40+SQRT(B41)</f>
        <v>1.5177446878757825</v>
      </c>
      <c r="C42" s="1" t="s">
        <v>1141</v>
      </c>
    </row>
    <row r="43" spans="1:4">
      <c r="A43" t="s">
        <v>1142</v>
      </c>
      <c r="B43" s="1">
        <f>B42/(B42-1)</f>
        <v>2.931453906563152</v>
      </c>
      <c r="C43" s="1" t="s">
        <v>1143</v>
      </c>
    </row>
    <row r="44" spans="1:4">
      <c r="A44" s="1" t="s">
        <v>1144</v>
      </c>
      <c r="B44" s="1">
        <f>B42</f>
        <v>1.5177446878757825</v>
      </c>
      <c r="C44" s="1" t="s">
        <v>1145</v>
      </c>
    </row>
    <row r="45" spans="1:4">
      <c r="A45" t="s">
        <v>1146</v>
      </c>
      <c r="B45" s="1">
        <f>1-B44</f>
        <v>-0.51774468787578254</v>
      </c>
      <c r="C45" s="1" t="s">
        <v>1147</v>
      </c>
    </row>
    <row r="46" spans="1:4">
      <c r="A46" t="s">
        <v>1148</v>
      </c>
      <c r="B46" s="1">
        <f>B43*B19</f>
        <v>586.29078131263043</v>
      </c>
      <c r="C46" s="1" t="s">
        <v>1149</v>
      </c>
    </row>
    <row r="47" spans="1:4">
      <c r="A47" t="s">
        <v>561</v>
      </c>
      <c r="B47" s="1">
        <f>((B42-1)^(B42-1))/(B42^B42)</f>
        <v>0.37754741430928612</v>
      </c>
      <c r="C47" s="1" t="s">
        <v>1150</v>
      </c>
    </row>
    <row r="48" spans="1:4">
      <c r="A48" t="s">
        <v>1151</v>
      </c>
      <c r="B48" s="1">
        <f>B42/(B42-1)</f>
        <v>2.931453906563152</v>
      </c>
      <c r="C48" s="1" t="s">
        <v>1143</v>
      </c>
    </row>
    <row r="49" spans="1:4">
      <c r="A49" t="s">
        <v>1152</v>
      </c>
      <c r="B49" s="1">
        <f>IF(B2&lt;B46,B47*(B2^B44)*(B19^B45),MAX(B46-B19,0))</f>
        <v>26.370284734540082</v>
      </c>
      <c r="C49" s="1" t="s">
        <v>1153</v>
      </c>
    </row>
    <row r="50" spans="1:4" ht="15">
      <c r="A50" s="325" t="s">
        <v>1108</v>
      </c>
    </row>
    <row r="51" spans="1:4">
      <c r="A51" t="s">
        <v>34</v>
      </c>
      <c r="B51" s="1">
        <f>B42</f>
        <v>1.5177446878757825</v>
      </c>
      <c r="C51" t="s">
        <v>1154</v>
      </c>
    </row>
    <row r="52" spans="1:4">
      <c r="B52" s="1">
        <f>1-B42</f>
        <v>-0.51774468787578254</v>
      </c>
    </row>
    <row r="53" spans="1:4">
      <c r="B53" s="1">
        <v>-1</v>
      </c>
    </row>
    <row r="54" spans="1:4">
      <c r="A54" t="s">
        <v>1155</v>
      </c>
      <c r="B54" s="1">
        <f t="array" ref="B54:D54">TRANSPOSE(B51:B53)</f>
        <v>1.5177446878757825</v>
      </c>
      <c r="C54" s="1">
        <v>-0.51774468787578254</v>
      </c>
      <c r="D54" s="1">
        <v>-1</v>
      </c>
    </row>
    <row r="55" spans="1:4">
      <c r="A55" t="s">
        <v>1126</v>
      </c>
      <c r="B55" s="1">
        <f t="array" ref="B55:B57">MMULT(B25:D27,B51:B53)</f>
        <v>6.070978751503131E-2</v>
      </c>
    </row>
    <row r="56" spans="1:4">
      <c r="B56" s="1">
        <v>-5.1774468787578265E-3</v>
      </c>
    </row>
    <row r="57" spans="1:4">
      <c r="B57" s="1">
        <v>-1.0000000000000002E-2</v>
      </c>
    </row>
    <row r="58" spans="1:4">
      <c r="A58" t="s">
        <v>1156</v>
      </c>
      <c r="B58" s="1">
        <f>MMULT(B54:D54,B55:B57)</f>
        <v>0.1048225531212422</v>
      </c>
      <c r="C58" s="1" t="s">
        <v>1157</v>
      </c>
    </row>
    <row r="59" spans="1:4">
      <c r="A59" t="s">
        <v>1158</v>
      </c>
      <c r="B59" s="1">
        <f>SQRT(B58)</f>
        <v>0.323763112663012</v>
      </c>
      <c r="C59" s="1" t="s">
        <v>1159</v>
      </c>
    </row>
    <row r="60" spans="1:4">
      <c r="A60" t="s">
        <v>1160</v>
      </c>
      <c r="B60" s="336">
        <f>B16+B8-B10</f>
        <v>0.05</v>
      </c>
      <c r="C60" s="336" t="s">
        <v>1161</v>
      </c>
    </row>
    <row r="61" spans="1:4">
      <c r="A61" t="s">
        <v>1162</v>
      </c>
      <c r="B61" s="336">
        <f>B16+B12-B10</f>
        <v>0.1</v>
      </c>
      <c r="C61" s="336" t="s">
        <v>1163</v>
      </c>
    </row>
    <row r="62" spans="1:4">
      <c r="A62" t="s">
        <v>1136</v>
      </c>
      <c r="B62" s="1">
        <f>0.5-B60/B58</f>
        <v>2.3003413758030777E-2</v>
      </c>
      <c r="C62" s="1" t="s">
        <v>1164</v>
      </c>
    </row>
    <row r="63" spans="1:4">
      <c r="A63" t="s">
        <v>1138</v>
      </c>
      <c r="B63" s="1">
        <f>B62^2+2*B61/B58</f>
        <v>1.9085155020124001</v>
      </c>
      <c r="C63" s="1" t="s">
        <v>1165</v>
      </c>
    </row>
    <row r="64" spans="1:4">
      <c r="A64" t="s">
        <v>1166</v>
      </c>
      <c r="B64" s="1">
        <f>B62+SQRT(B63)</f>
        <v>1.4044937329468408</v>
      </c>
      <c r="C64" s="1" t="s">
        <v>1167</v>
      </c>
    </row>
    <row r="65" spans="1:6">
      <c r="A65" t="s">
        <v>558</v>
      </c>
      <c r="B65" s="1">
        <f>((B64-1)^(B64-1))/(B64^B64)</f>
        <v>0.43033596452662942</v>
      </c>
      <c r="C65" s="1" t="s">
        <v>1168</v>
      </c>
      <c r="F65" s="1"/>
    </row>
    <row r="66" spans="1:6">
      <c r="A66" t="s">
        <v>1169</v>
      </c>
      <c r="B66" s="1">
        <f>B64*B44</f>
        <v>2.1316629023348956</v>
      </c>
      <c r="C66" s="1" t="s">
        <v>1170</v>
      </c>
      <c r="F66" s="1"/>
    </row>
    <row r="67" spans="1:6">
      <c r="A67" t="s">
        <v>1171</v>
      </c>
      <c r="B67" s="1">
        <f>B64*B45</f>
        <v>-0.72716916938805476</v>
      </c>
      <c r="C67" s="1" t="s">
        <v>1172</v>
      </c>
      <c r="F67" s="1"/>
    </row>
    <row r="68" spans="1:6">
      <c r="A68" t="s">
        <v>1173</v>
      </c>
      <c r="B68" s="1">
        <f>1-B64</f>
        <v>-0.40449373294684077</v>
      </c>
      <c r="C68" s="1" t="s">
        <v>1174</v>
      </c>
      <c r="F68" s="1"/>
    </row>
    <row r="69" spans="1:6">
      <c r="A69" t="s">
        <v>1175</v>
      </c>
      <c r="B69" s="1">
        <f>((B64*(B19^(B42-1))*B20)/(B47*(B64-1)))^(1/B42)</f>
        <v>346.14874615214069</v>
      </c>
      <c r="C69" s="1" t="s">
        <v>1176</v>
      </c>
      <c r="D69" s="1"/>
    </row>
    <row r="70" spans="1:6">
      <c r="A70" t="s">
        <v>560</v>
      </c>
      <c r="B70" s="1">
        <f>B65*B47^B64</f>
        <v>0.10956371921167697</v>
      </c>
      <c r="C70" s="1" t="s">
        <v>1177</v>
      </c>
      <c r="D70" s="1"/>
    </row>
    <row r="71" spans="1:6">
      <c r="A71" t="s">
        <v>1178</v>
      </c>
      <c r="B71" s="1">
        <f>IF($B$2&lt;B69,B70*($B$2^B66)*($B$19^B67)*($B$20^B68),MAX(B69-B19-B20,0))</f>
        <v>8.7605582371672845</v>
      </c>
      <c r="C71" s="1" t="s">
        <v>1179</v>
      </c>
      <c r="D71" s="1"/>
    </row>
    <row r="72" spans="1:6">
      <c r="A72" t="s">
        <v>1180</v>
      </c>
      <c r="B72" s="1">
        <f>(B64/(B47*(B64-1)))^(1/B44)</f>
        <v>4.3143308336472588</v>
      </c>
      <c r="C72" s="1" t="s">
        <v>1181</v>
      </c>
      <c r="D72" s="1"/>
    </row>
    <row r="73" spans="1:6">
      <c r="A73" t="s">
        <v>1182</v>
      </c>
      <c r="B73" s="1">
        <f>B69/(B19+B20)</f>
        <v>1.3845949846085628</v>
      </c>
      <c r="C73" s="1" t="s">
        <v>1183</v>
      </c>
    </row>
    <row r="74" spans="1:6">
      <c r="A74" t="s">
        <v>1184</v>
      </c>
      <c r="B74" s="1">
        <f>B69/B20</f>
        <v>6.9229749230428137</v>
      </c>
      <c r="C74" s="1" t="s">
        <v>1185</v>
      </c>
    </row>
    <row r="75" spans="1:6" ht="15">
      <c r="A75" s="325" t="s">
        <v>1111</v>
      </c>
    </row>
    <row r="76" spans="1:6">
      <c r="A76" t="s">
        <v>34</v>
      </c>
      <c r="B76" s="1">
        <f>B42*B64</f>
        <v>2.1316629023348956</v>
      </c>
      <c r="C76" t="s">
        <v>1186</v>
      </c>
    </row>
    <row r="77" spans="1:6">
      <c r="B77" s="1">
        <f>B64*(1-B42)</f>
        <v>-0.72716916938805476</v>
      </c>
    </row>
    <row r="78" spans="1:6">
      <c r="B78" s="1">
        <f>1-B64</f>
        <v>-0.40449373294684077</v>
      </c>
    </row>
    <row r="79" spans="1:6">
      <c r="B79" s="1">
        <v>-1</v>
      </c>
    </row>
    <row r="80" spans="1:6">
      <c r="A80" t="s">
        <v>1155</v>
      </c>
      <c r="B80" s="1">
        <f t="array" ref="B80:E80">TRANSPOSE(B76:B79)</f>
        <v>2.1316629023348956</v>
      </c>
      <c r="C80" s="1">
        <v>-0.72716916938805476</v>
      </c>
      <c r="D80" s="1">
        <v>-0.40449373294684077</v>
      </c>
      <c r="E80" s="1">
        <v>-1</v>
      </c>
    </row>
    <row r="81" spans="1:4">
      <c r="A81" t="s">
        <v>1126</v>
      </c>
      <c r="B81" s="1">
        <f t="array" ref="B81:B84">MMULT(B25:E28,B76:B79)</f>
        <v>8.5266516093395847E-2</v>
      </c>
    </row>
    <row r="82" spans="1:4">
      <c r="B82" s="1">
        <v>-7.2716916938805488E-3</v>
      </c>
    </row>
    <row r="83" spans="1:4">
      <c r="B83" s="1">
        <v>-4.0449373294684085E-3</v>
      </c>
    </row>
    <row r="84" spans="1:4">
      <c r="B84" s="1">
        <v>-1.0000000000000002E-2</v>
      </c>
    </row>
    <row r="85" spans="1:4">
      <c r="A85" t="s">
        <v>1187</v>
      </c>
      <c r="B85" s="1">
        <f>MMULT(B80:E80,B81:B84)</f>
        <v>0.19868337097665112</v>
      </c>
      <c r="C85" s="1" t="s">
        <v>1188</v>
      </c>
    </row>
    <row r="86" spans="1:4">
      <c r="A86" t="s">
        <v>1189</v>
      </c>
      <c r="B86" s="1">
        <f>SQRT(B85)</f>
        <v>0.44573912883731792</v>
      </c>
      <c r="C86" s="1" t="s">
        <v>1190</v>
      </c>
    </row>
    <row r="87" spans="1:4">
      <c r="A87" t="s">
        <v>1191</v>
      </c>
      <c r="B87" s="336">
        <f>B16+B12-B14</f>
        <v>0.1</v>
      </c>
      <c r="C87" s="336" t="s">
        <v>1192</v>
      </c>
    </row>
    <row r="88" spans="1:4">
      <c r="A88" t="s">
        <v>1193</v>
      </c>
      <c r="B88" s="336">
        <f>B16+B17-B14</f>
        <v>0.15000000000000002</v>
      </c>
      <c r="C88" s="336" t="s">
        <v>1194</v>
      </c>
    </row>
    <row r="89" spans="1:4">
      <c r="A89" t="s">
        <v>1136</v>
      </c>
      <c r="B89" s="1">
        <f>0.5-B87/B85</f>
        <v>-3.3133850530038256E-3</v>
      </c>
      <c r="C89" s="1" t="s">
        <v>1195</v>
      </c>
    </row>
    <row r="90" spans="1:4">
      <c r="A90" t="s">
        <v>1138</v>
      </c>
      <c r="B90" s="1">
        <f>B89^2+2*B88/B85</f>
        <v>1.5099511336795211</v>
      </c>
      <c r="C90" s="1" t="s">
        <v>1196</v>
      </c>
    </row>
    <row r="91" spans="1:4">
      <c r="A91" t="s">
        <v>1197</v>
      </c>
      <c r="B91" s="1">
        <f>B89+SQRT(B90)</f>
        <v>1.2254873041067642</v>
      </c>
      <c r="C91" s="1" t="s">
        <v>1198</v>
      </c>
    </row>
    <row r="92" spans="1:4">
      <c r="A92" t="s">
        <v>1199</v>
      </c>
      <c r="B92" s="1">
        <f>((B91-1)^(B91-1))/(B91^B91)</f>
        <v>0.55707787673853471</v>
      </c>
      <c r="C92" s="1" t="s">
        <v>1200</v>
      </c>
      <c r="D92" s="1"/>
    </row>
    <row r="93" spans="1:4">
      <c r="A93" t="s">
        <v>1201</v>
      </c>
      <c r="B93" s="1">
        <f>B91*B66</f>
        <v>2.6123258234467919</v>
      </c>
      <c r="C93" s="1" t="s">
        <v>1202</v>
      </c>
      <c r="D93" s="1"/>
    </row>
    <row r="94" spans="1:4">
      <c r="A94" t="s">
        <v>1203</v>
      </c>
      <c r="B94" s="1">
        <f>B91*B67</f>
        <v>-0.89113658502292215</v>
      </c>
      <c r="C94" s="1" t="s">
        <v>1204</v>
      </c>
      <c r="D94" s="1"/>
    </row>
    <row r="95" spans="1:4">
      <c r="A95" t="s">
        <v>1205</v>
      </c>
      <c r="B95" s="1">
        <f>B91*B68</f>
        <v>-0.4957019343171053</v>
      </c>
      <c r="C95" s="1" t="s">
        <v>1206</v>
      </c>
      <c r="D95" s="1"/>
    </row>
    <row r="96" spans="1:4">
      <c r="A96" t="s">
        <v>1207</v>
      </c>
      <c r="B96" s="1">
        <f>1-B91</f>
        <v>-0.22548730410676421</v>
      </c>
      <c r="C96" s="1" t="s">
        <v>1208</v>
      </c>
      <c r="D96" s="1"/>
    </row>
    <row r="97" spans="1:3">
      <c r="A97" t="s">
        <v>1209</v>
      </c>
      <c r="B97" s="1">
        <f>((B91*(B19^(-B67))*(B20^(-B68))*B21)/(B70*(B91-1)))^(1/B66)</f>
        <v>235.42260781947459</v>
      </c>
      <c r="C97" s="1" t="s">
        <v>1210</v>
      </c>
    </row>
    <row r="98" spans="1:3">
      <c r="A98" t="s">
        <v>1211</v>
      </c>
      <c r="B98" s="1">
        <f>B92*B70^B91</f>
        <v>3.7071463038959807E-2</v>
      </c>
      <c r="C98" s="1" t="s">
        <v>1212</v>
      </c>
    </row>
    <row r="99" spans="1:3">
      <c r="A99" t="s">
        <v>1213</v>
      </c>
      <c r="B99" s="1">
        <f>IF($B$2&lt;B97,B98*($B$2^B93)*($B$19^B94)*($B$20^B95)*($B$21^B96),MAX(B97-$B$19-$B$20-$B$21,0))</f>
        <v>4.7368467995495829</v>
      </c>
      <c r="C99" s="339" t="s">
        <v>1214</v>
      </c>
    </row>
    <row r="100" spans="1:3">
      <c r="A100" t="s">
        <v>1215</v>
      </c>
      <c r="B100" s="1">
        <f>(B91/(B70*(B91-1)))^(1/B66)</f>
        <v>6.2430640037753751</v>
      </c>
      <c r="C100" s="1" t="s">
        <v>1216</v>
      </c>
    </row>
    <row r="101" spans="1:3">
      <c r="A101" t="s">
        <v>1217</v>
      </c>
      <c r="B101" s="1">
        <f>B97/(B19+B20+B21)</f>
        <v>0.90547156853644073</v>
      </c>
      <c r="C101" s="1" t="s">
        <v>1218</v>
      </c>
    </row>
    <row r="102" spans="1:3">
      <c r="A102" t="s">
        <v>1184</v>
      </c>
      <c r="B102" s="1">
        <f>B97/B21</f>
        <v>23.542260781947459</v>
      </c>
      <c r="C102" s="1" t="s">
        <v>1219</v>
      </c>
    </row>
  </sheetData>
  <printOptions horizontalCentered="1" headings="1"/>
  <pageMargins left="0.24" right="0.26" top="0.75" bottom="0.75" header="0.3" footer="0.3"/>
  <pageSetup scale="9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C21"/>
  <sheetViews>
    <sheetView workbookViewId="0">
      <selection sqref="A1:C21"/>
    </sheetView>
  </sheetViews>
  <sheetFormatPr defaultRowHeight="12.75"/>
  <cols>
    <col min="1" max="1" width="27.140625" customWidth="1"/>
    <col min="3" max="3" width="49.85546875" bestFit="1" customWidth="1"/>
  </cols>
  <sheetData>
    <row r="1" spans="1:3" ht="20.25">
      <c r="B1" s="110" t="s">
        <v>204</v>
      </c>
    </row>
    <row r="2" spans="1:3" ht="20.25">
      <c r="B2" s="110" t="s">
        <v>205</v>
      </c>
    </row>
    <row r="3" spans="1:3">
      <c r="A3" s="18" t="s">
        <v>583</v>
      </c>
      <c r="B3" s="18"/>
    </row>
    <row r="4" spans="1:3">
      <c r="A4" s="18" t="s">
        <v>59</v>
      </c>
      <c r="B4" s="18">
        <v>2</v>
      </c>
    </row>
    <row r="5" spans="1:3">
      <c r="A5" s="18" t="s">
        <v>206</v>
      </c>
      <c r="B5" s="18">
        <v>1</v>
      </c>
    </row>
    <row r="6" spans="1:3">
      <c r="A6" s="18" t="s">
        <v>221</v>
      </c>
      <c r="B6" s="18">
        <v>5</v>
      </c>
    </row>
    <row r="7" spans="1:3">
      <c r="A7" s="18" t="s">
        <v>222</v>
      </c>
      <c r="B7" s="111">
        <v>25</v>
      </c>
    </row>
    <row r="8" spans="1:3">
      <c r="A8" s="18" t="s">
        <v>223</v>
      </c>
      <c r="B8" s="112">
        <v>0.04</v>
      </c>
    </row>
    <row r="9" spans="1:3">
      <c r="A9" s="18" t="s">
        <v>224</v>
      </c>
      <c r="B9" s="112">
        <v>0.04</v>
      </c>
    </row>
    <row r="10" spans="1:3">
      <c r="A10" s="18" t="s">
        <v>225</v>
      </c>
      <c r="B10" s="112">
        <f>B8-B9</f>
        <v>0</v>
      </c>
    </row>
    <row r="11" spans="1:3">
      <c r="A11" s="18" t="s">
        <v>144</v>
      </c>
      <c r="B11" s="112">
        <v>0.2</v>
      </c>
    </row>
    <row r="12" spans="1:3">
      <c r="A12" s="18" t="s">
        <v>605</v>
      </c>
      <c r="B12" s="112"/>
    </row>
    <row r="13" spans="1:3" ht="14.25">
      <c r="A13" s="16" t="s">
        <v>196</v>
      </c>
      <c r="B13" s="14">
        <f>0.5-(B8-B9)/(B11^2)+SQRT(((B8-B9)/(B11^2)-0.5)^2 + 2*B8/(B11^2))</f>
        <v>1.9999999999999998</v>
      </c>
      <c r="C13" s="15" t="s">
        <v>226</v>
      </c>
    </row>
    <row r="14" spans="1:3" ht="14.25">
      <c r="A14" s="16" t="s">
        <v>227</v>
      </c>
      <c r="B14" s="14">
        <f>0.5-(B8-B9)/(B11^2)-SQRT(((B8-B9)/(B11^2)-0.5)^2 + 2*B8/(B11^2))</f>
        <v>-0.99999999999999978</v>
      </c>
      <c r="C14" s="15" t="s">
        <v>228</v>
      </c>
    </row>
    <row r="15" spans="1:3" ht="14.25">
      <c r="A15" s="113" t="s">
        <v>328</v>
      </c>
      <c r="B15" s="114">
        <f>B5+B8*B6</f>
        <v>1.2</v>
      </c>
      <c r="C15" s="10" t="s">
        <v>229</v>
      </c>
    </row>
    <row r="16" spans="1:3" ht="14.25">
      <c r="A16" s="113" t="s">
        <v>329</v>
      </c>
      <c r="B16" s="114">
        <f>IF((B5-B8*B7)&gt;0,B5-B8*B7,0)</f>
        <v>0</v>
      </c>
      <c r="C16" s="10" t="s">
        <v>230</v>
      </c>
    </row>
    <row r="17" spans="1:3" ht="14.25">
      <c r="A17" s="113" t="s">
        <v>330</v>
      </c>
      <c r="B17" s="115">
        <f>(B8-B10)/B8*(B13/(B13-1))*B15</f>
        <v>2.4</v>
      </c>
      <c r="C17" s="10" t="s">
        <v>231</v>
      </c>
    </row>
    <row r="18" spans="1:3" ht="14.25">
      <c r="A18" s="113" t="s">
        <v>331</v>
      </c>
      <c r="B18" s="114">
        <f>(B8-B10)/B8*(-B14/(-B14+1))*B16</f>
        <v>0</v>
      </c>
      <c r="C18" s="10" t="s">
        <v>232</v>
      </c>
    </row>
    <row r="19" spans="1:3" ht="14.25">
      <c r="A19" s="116" t="s">
        <v>332</v>
      </c>
      <c r="B19" s="117">
        <f>B15-B16</f>
        <v>1.2</v>
      </c>
      <c r="C19" s="118" t="s">
        <v>233</v>
      </c>
    </row>
    <row r="20" spans="1:3" ht="14.25">
      <c r="A20" s="116" t="s">
        <v>333</v>
      </c>
      <c r="B20" s="117">
        <f>B17-B18</f>
        <v>2.4</v>
      </c>
      <c r="C20" s="118" t="s">
        <v>234</v>
      </c>
    </row>
    <row r="21" spans="1:3" ht="14.25">
      <c r="A21" s="116" t="s">
        <v>334</v>
      </c>
      <c r="B21" s="117">
        <f>B20/B19</f>
        <v>2</v>
      </c>
      <c r="C21" s="118" t="s">
        <v>235</v>
      </c>
    </row>
  </sheetData>
  <phoneticPr fontId="8" type="noConversion"/>
  <printOptions headings="1"/>
  <pageMargins left="0.75" right="0.75" top="1" bottom="1" header="0.5" footer="0.5"/>
  <pageSetup paperSize="9" scale="90" orientation="portrait" horizontalDpi="4294967293" verticalDpi="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dimension ref="A1:J109"/>
  <sheetViews>
    <sheetView topLeftCell="E70" workbookViewId="0">
      <selection activeCell="S93" sqref="S93"/>
    </sheetView>
  </sheetViews>
  <sheetFormatPr defaultRowHeight="12.75"/>
  <cols>
    <col min="1" max="1" width="27.140625" customWidth="1"/>
    <col min="4" max="4" width="9.7109375" customWidth="1"/>
  </cols>
  <sheetData>
    <row r="1" spans="1:8" ht="20.25">
      <c r="A1" s="110" t="s">
        <v>60</v>
      </c>
      <c r="B1" s="110"/>
      <c r="C1" s="110"/>
      <c r="D1" s="110"/>
      <c r="E1" s="110"/>
      <c r="F1" s="110"/>
      <c r="G1" s="110"/>
      <c r="H1" s="110"/>
    </row>
    <row r="2" spans="1:8" ht="20.25">
      <c r="A2" s="110" t="s">
        <v>58</v>
      </c>
      <c r="B2" s="103"/>
      <c r="C2" s="110"/>
      <c r="D2" s="110"/>
      <c r="E2" s="110"/>
      <c r="F2" s="110"/>
      <c r="G2" s="110"/>
      <c r="H2" s="110"/>
    </row>
    <row r="3" spans="1:8">
      <c r="A3" s="18" t="s">
        <v>583</v>
      </c>
      <c r="B3" s="18"/>
    </row>
    <row r="4" spans="1:8">
      <c r="A4" s="18" t="s">
        <v>59</v>
      </c>
      <c r="B4" s="18">
        <v>2</v>
      </c>
      <c r="C4" s="18">
        <f t="shared" ref="C4:H4" si="0">B4</f>
        <v>2</v>
      </c>
      <c r="D4" s="18">
        <f t="shared" si="0"/>
        <v>2</v>
      </c>
      <c r="E4" s="18">
        <f t="shared" si="0"/>
        <v>2</v>
      </c>
      <c r="F4" s="18">
        <f t="shared" si="0"/>
        <v>2</v>
      </c>
      <c r="G4" s="18">
        <f t="shared" si="0"/>
        <v>2</v>
      </c>
      <c r="H4" s="18">
        <f t="shared" si="0"/>
        <v>2</v>
      </c>
    </row>
    <row r="5" spans="1:8">
      <c r="A5" s="120" t="s">
        <v>206</v>
      </c>
      <c r="B5" s="120">
        <f t="shared" ref="B5:F5" si="1">C5-0.1</f>
        <v>0.40000000000000013</v>
      </c>
      <c r="C5" s="120">
        <f t="shared" si="1"/>
        <v>0.50000000000000011</v>
      </c>
      <c r="D5" s="120">
        <f t="shared" si="1"/>
        <v>0.60000000000000009</v>
      </c>
      <c r="E5" s="120">
        <f t="shared" si="1"/>
        <v>0.70000000000000007</v>
      </c>
      <c r="F5" s="120">
        <f t="shared" si="1"/>
        <v>0.8</v>
      </c>
      <c r="G5" s="120">
        <f>H5-0.1</f>
        <v>0.9</v>
      </c>
      <c r="H5" s="120">
        <v>1</v>
      </c>
    </row>
    <row r="6" spans="1:8">
      <c r="A6" s="18" t="s">
        <v>221</v>
      </c>
      <c r="B6" s="18">
        <v>5</v>
      </c>
      <c r="C6" s="18">
        <f t="shared" ref="C6:H11" si="2">B6</f>
        <v>5</v>
      </c>
      <c r="D6" s="18">
        <f t="shared" si="2"/>
        <v>5</v>
      </c>
      <c r="E6" s="18">
        <f t="shared" si="2"/>
        <v>5</v>
      </c>
      <c r="F6" s="18">
        <f t="shared" si="2"/>
        <v>5</v>
      </c>
      <c r="G6" s="18">
        <f t="shared" si="2"/>
        <v>5</v>
      </c>
      <c r="H6" s="18">
        <f t="shared" si="2"/>
        <v>5</v>
      </c>
    </row>
    <row r="7" spans="1:8">
      <c r="A7" s="18" t="s">
        <v>222</v>
      </c>
      <c r="B7" s="111">
        <v>25</v>
      </c>
      <c r="C7" s="18">
        <f t="shared" si="2"/>
        <v>25</v>
      </c>
      <c r="D7" s="18">
        <f t="shared" si="2"/>
        <v>25</v>
      </c>
      <c r="E7" s="18">
        <f t="shared" si="2"/>
        <v>25</v>
      </c>
      <c r="F7" s="18">
        <f t="shared" si="2"/>
        <v>25</v>
      </c>
      <c r="G7" s="18">
        <f t="shared" si="2"/>
        <v>25</v>
      </c>
      <c r="H7" s="18">
        <f t="shared" si="2"/>
        <v>25</v>
      </c>
    </row>
    <row r="8" spans="1:8">
      <c r="A8" s="18" t="s">
        <v>223</v>
      </c>
      <c r="B8" s="112">
        <v>0.04</v>
      </c>
      <c r="C8" s="18">
        <f t="shared" si="2"/>
        <v>0.04</v>
      </c>
      <c r="D8" s="18">
        <f t="shared" si="2"/>
        <v>0.04</v>
      </c>
      <c r="E8" s="18">
        <f t="shared" si="2"/>
        <v>0.04</v>
      </c>
      <c r="F8" s="18">
        <f t="shared" si="2"/>
        <v>0.04</v>
      </c>
      <c r="G8" s="18">
        <f t="shared" si="2"/>
        <v>0.04</v>
      </c>
      <c r="H8" s="18">
        <f t="shared" si="2"/>
        <v>0.04</v>
      </c>
    </row>
    <row r="9" spans="1:8">
      <c r="A9" s="18" t="s">
        <v>224</v>
      </c>
      <c r="B9" s="112">
        <v>0.04</v>
      </c>
      <c r="C9" s="18">
        <f t="shared" si="2"/>
        <v>0.04</v>
      </c>
      <c r="D9" s="18">
        <f t="shared" si="2"/>
        <v>0.04</v>
      </c>
      <c r="E9" s="18">
        <f t="shared" si="2"/>
        <v>0.04</v>
      </c>
      <c r="F9" s="18">
        <f t="shared" si="2"/>
        <v>0.04</v>
      </c>
      <c r="G9" s="18">
        <f t="shared" si="2"/>
        <v>0.04</v>
      </c>
      <c r="H9" s="18">
        <f t="shared" si="2"/>
        <v>0.04</v>
      </c>
    </row>
    <row r="10" spans="1:8">
      <c r="A10" s="18" t="s">
        <v>225</v>
      </c>
      <c r="B10" s="112">
        <v>0</v>
      </c>
      <c r="C10" s="112">
        <f t="shared" si="2"/>
        <v>0</v>
      </c>
      <c r="D10" s="112">
        <f t="shared" si="2"/>
        <v>0</v>
      </c>
      <c r="E10" s="112">
        <f t="shared" si="2"/>
        <v>0</v>
      </c>
      <c r="F10" s="112">
        <f t="shared" si="2"/>
        <v>0</v>
      </c>
      <c r="G10" s="112">
        <f t="shared" si="2"/>
        <v>0</v>
      </c>
      <c r="H10" s="112">
        <f t="shared" si="2"/>
        <v>0</v>
      </c>
    </row>
    <row r="11" spans="1:8">
      <c r="A11" s="18" t="s">
        <v>144</v>
      </c>
      <c r="B11" s="112">
        <v>0.2</v>
      </c>
      <c r="C11" s="112">
        <f t="shared" si="2"/>
        <v>0.2</v>
      </c>
      <c r="D11" s="112">
        <f t="shared" si="2"/>
        <v>0.2</v>
      </c>
      <c r="E11" s="112">
        <f t="shared" si="2"/>
        <v>0.2</v>
      </c>
      <c r="F11" s="112">
        <f t="shared" si="2"/>
        <v>0.2</v>
      </c>
      <c r="G11" s="112">
        <f t="shared" si="2"/>
        <v>0.2</v>
      </c>
      <c r="H11" s="112">
        <f t="shared" si="2"/>
        <v>0.2</v>
      </c>
    </row>
    <row r="12" spans="1:8" ht="14.25">
      <c r="A12" s="16" t="s">
        <v>196</v>
      </c>
      <c r="B12" s="14">
        <f t="shared" ref="B12:H12" si="3">0.5-(B8-B9)/(B11^2)+SQRT(((B8-B9)/(B11^2)-0.5)^2 + 2*B8/(B11^2))</f>
        <v>1.9999999999999998</v>
      </c>
      <c r="C12" s="14">
        <f t="shared" si="3"/>
        <v>1.9999999999999998</v>
      </c>
      <c r="D12" s="14">
        <f t="shared" si="3"/>
        <v>1.9999999999999998</v>
      </c>
      <c r="E12" s="14">
        <f t="shared" si="3"/>
        <v>1.9999999999999998</v>
      </c>
      <c r="F12" s="14">
        <f t="shared" si="3"/>
        <v>1.9999999999999998</v>
      </c>
      <c r="G12" s="14">
        <f t="shared" si="3"/>
        <v>1.9999999999999998</v>
      </c>
      <c r="H12" s="14">
        <f t="shared" si="3"/>
        <v>1.9999999999999998</v>
      </c>
    </row>
    <row r="13" spans="1:8" ht="14.25">
      <c r="A13" s="16" t="s">
        <v>227</v>
      </c>
      <c r="B13" s="14">
        <f t="shared" ref="B13:H13" si="4">0.5-(B8-B9)/(B11^2)-SQRT(((B8-B9)/(B11^2)-0.5)^2 + 2*B8/(B11^2))</f>
        <v>-0.99999999999999978</v>
      </c>
      <c r="C13" s="14">
        <f t="shared" si="4"/>
        <v>-0.99999999999999978</v>
      </c>
      <c r="D13" s="14">
        <f t="shared" si="4"/>
        <v>-0.99999999999999978</v>
      </c>
      <c r="E13" s="14">
        <f t="shared" si="4"/>
        <v>-0.99999999999999978</v>
      </c>
      <c r="F13" s="14">
        <f t="shared" si="4"/>
        <v>-0.99999999999999978</v>
      </c>
      <c r="G13" s="14">
        <f t="shared" si="4"/>
        <v>-0.99999999999999978</v>
      </c>
      <c r="H13" s="14">
        <f t="shared" si="4"/>
        <v>-0.99999999999999978</v>
      </c>
    </row>
    <row r="14" spans="1:8" ht="14.25">
      <c r="A14" s="113" t="s">
        <v>328</v>
      </c>
      <c r="B14" s="114">
        <f t="shared" ref="B14:H14" si="5">B5+B8*B6</f>
        <v>0.60000000000000009</v>
      </c>
      <c r="C14" s="114">
        <f t="shared" si="5"/>
        <v>0.70000000000000018</v>
      </c>
      <c r="D14" s="114">
        <f t="shared" si="5"/>
        <v>0.8</v>
      </c>
      <c r="E14" s="114">
        <f t="shared" si="5"/>
        <v>0.90000000000000013</v>
      </c>
      <c r="F14" s="114">
        <f t="shared" si="5"/>
        <v>1</v>
      </c>
      <c r="G14" s="114">
        <f t="shared" si="5"/>
        <v>1.1000000000000001</v>
      </c>
      <c r="H14" s="114">
        <f t="shared" si="5"/>
        <v>1.2</v>
      </c>
    </row>
    <row r="15" spans="1:8" ht="14.25">
      <c r="A15" s="113" t="s">
        <v>329</v>
      </c>
      <c r="B15" s="114">
        <f>IF((B5-B8*B7)&gt;0,B5-B8*B7,0)</f>
        <v>0</v>
      </c>
      <c r="C15" s="114">
        <f t="shared" ref="C15:H15" si="6">IF((C5-C8*C7)&gt;0,C5-C8*C7,0)</f>
        <v>0</v>
      </c>
      <c r="D15" s="114">
        <f t="shared" si="6"/>
        <v>0</v>
      </c>
      <c r="E15" s="114">
        <f t="shared" si="6"/>
        <v>0</v>
      </c>
      <c r="F15" s="114">
        <f t="shared" si="6"/>
        <v>0</v>
      </c>
      <c r="G15" s="114">
        <f t="shared" si="6"/>
        <v>0</v>
      </c>
      <c r="H15" s="114">
        <f t="shared" si="6"/>
        <v>0</v>
      </c>
    </row>
    <row r="16" spans="1:8" ht="14.25">
      <c r="A16" s="113" t="s">
        <v>330</v>
      </c>
      <c r="B16" s="114">
        <f>(B8-B10)/B8*B12/(B12-1)*B14</f>
        <v>1.2000000000000002</v>
      </c>
      <c r="C16" s="114">
        <f t="shared" ref="C16:H16" si="7">(C8-C10)/C8*C12/(C12-1)*C14</f>
        <v>1.4000000000000004</v>
      </c>
      <c r="D16" s="114">
        <f t="shared" si="7"/>
        <v>1.6</v>
      </c>
      <c r="E16" s="114">
        <f t="shared" si="7"/>
        <v>1.8000000000000003</v>
      </c>
      <c r="F16" s="114">
        <f t="shared" si="7"/>
        <v>2</v>
      </c>
      <c r="G16" s="114">
        <f t="shared" si="7"/>
        <v>2.2000000000000002</v>
      </c>
      <c r="H16" s="114">
        <f t="shared" si="7"/>
        <v>2.4</v>
      </c>
    </row>
    <row r="17" spans="1:8" ht="14.25">
      <c r="A17" s="113" t="s">
        <v>331</v>
      </c>
      <c r="B17" s="114">
        <f t="shared" ref="B17:H17" si="8">(B8-B10)/B8*(-B13/(-B13+1))*B15</f>
        <v>0</v>
      </c>
      <c r="C17" s="114">
        <f t="shared" si="8"/>
        <v>0</v>
      </c>
      <c r="D17" s="114">
        <f t="shared" si="8"/>
        <v>0</v>
      </c>
      <c r="E17" s="114">
        <f t="shared" si="8"/>
        <v>0</v>
      </c>
      <c r="F17" s="114">
        <f t="shared" si="8"/>
        <v>0</v>
      </c>
      <c r="G17" s="114">
        <f t="shared" si="8"/>
        <v>0</v>
      </c>
      <c r="H17" s="114">
        <f t="shared" si="8"/>
        <v>0</v>
      </c>
    </row>
    <row r="18" spans="1:8" ht="14.25">
      <c r="A18" s="116" t="s">
        <v>332</v>
      </c>
      <c r="B18" s="117">
        <f>B14-B15</f>
        <v>0.60000000000000009</v>
      </c>
      <c r="C18" s="117">
        <f t="shared" ref="C18:H18" si="9">C14-C15</f>
        <v>0.70000000000000018</v>
      </c>
      <c r="D18" s="117">
        <f t="shared" si="9"/>
        <v>0.8</v>
      </c>
      <c r="E18" s="117">
        <f t="shared" si="9"/>
        <v>0.90000000000000013</v>
      </c>
      <c r="F18" s="117">
        <f t="shared" si="9"/>
        <v>1</v>
      </c>
      <c r="G18" s="117">
        <f t="shared" si="9"/>
        <v>1.1000000000000001</v>
      </c>
      <c r="H18" s="117">
        <f t="shared" si="9"/>
        <v>1.2</v>
      </c>
    </row>
    <row r="19" spans="1:8" ht="14.25">
      <c r="A19" s="116" t="s">
        <v>333</v>
      </c>
      <c r="B19" s="117">
        <f>B16-B17</f>
        <v>1.2000000000000002</v>
      </c>
      <c r="C19" s="117">
        <f t="shared" ref="C19:H19" si="10">C16-C17</f>
        <v>1.4000000000000004</v>
      </c>
      <c r="D19" s="117">
        <f t="shared" si="10"/>
        <v>1.6</v>
      </c>
      <c r="E19" s="117">
        <f t="shared" si="10"/>
        <v>1.8000000000000003</v>
      </c>
      <c r="F19" s="117">
        <f t="shared" si="10"/>
        <v>2</v>
      </c>
      <c r="G19" s="117">
        <f t="shared" si="10"/>
        <v>2.2000000000000002</v>
      </c>
      <c r="H19" s="117">
        <f t="shared" si="10"/>
        <v>2.4</v>
      </c>
    </row>
    <row r="20" spans="1:8" ht="14.25">
      <c r="A20" s="116" t="s">
        <v>334</v>
      </c>
      <c r="B20" s="117">
        <f>B19/B18</f>
        <v>2</v>
      </c>
      <c r="C20" s="117">
        <f t="shared" ref="C20:H20" si="11">C19/C18</f>
        <v>2</v>
      </c>
      <c r="D20" s="117">
        <f t="shared" si="11"/>
        <v>2</v>
      </c>
      <c r="E20" s="117">
        <f t="shared" si="11"/>
        <v>2</v>
      </c>
      <c r="F20" s="117">
        <f t="shared" si="11"/>
        <v>2</v>
      </c>
      <c r="G20" s="117">
        <f t="shared" si="11"/>
        <v>2</v>
      </c>
      <c r="H20" s="117">
        <f t="shared" si="11"/>
        <v>2</v>
      </c>
    </row>
    <row r="21" spans="1:8">
      <c r="A21" s="18" t="s">
        <v>553</v>
      </c>
      <c r="B21" s="18" t="s">
        <v>553</v>
      </c>
      <c r="C21" s="18" t="s">
        <v>553</v>
      </c>
      <c r="D21" s="18" t="str">
        <f t="shared" ref="C21:H22" si="12">C21</f>
        <v xml:space="preserve"> </v>
      </c>
      <c r="E21" s="18" t="str">
        <f t="shared" si="12"/>
        <v xml:space="preserve"> </v>
      </c>
      <c r="F21" s="18" t="str">
        <f t="shared" si="12"/>
        <v xml:space="preserve"> </v>
      </c>
      <c r="G21" s="18" t="str">
        <f t="shared" si="12"/>
        <v xml:space="preserve"> </v>
      </c>
      <c r="H21" s="18" t="str">
        <f t="shared" si="12"/>
        <v xml:space="preserve"> </v>
      </c>
    </row>
    <row r="22" spans="1:8">
      <c r="A22" s="18" t="str">
        <f>A5</f>
        <v>Operating cost C</v>
      </c>
      <c r="B22" s="18">
        <v>1</v>
      </c>
      <c r="C22" s="18">
        <f t="shared" si="12"/>
        <v>1</v>
      </c>
      <c r="D22" s="18">
        <f t="shared" si="12"/>
        <v>1</v>
      </c>
      <c r="E22" s="18">
        <f t="shared" si="12"/>
        <v>1</v>
      </c>
      <c r="F22" s="18">
        <f t="shared" si="12"/>
        <v>1</v>
      </c>
      <c r="G22" s="18">
        <f t="shared" si="12"/>
        <v>1</v>
      </c>
      <c r="H22" s="18">
        <f t="shared" si="12"/>
        <v>1</v>
      </c>
    </row>
    <row r="23" spans="1:8">
      <c r="A23" s="120" t="str">
        <f>A6</f>
        <v>Investment K</v>
      </c>
      <c r="B23" s="120">
        <v>2</v>
      </c>
      <c r="C23" s="120">
        <f t="shared" ref="C23:H23" si="13">B23+1</f>
        <v>3</v>
      </c>
      <c r="D23" s="120">
        <f t="shared" si="13"/>
        <v>4</v>
      </c>
      <c r="E23" s="120">
        <f t="shared" si="13"/>
        <v>5</v>
      </c>
      <c r="F23" s="120">
        <f t="shared" si="13"/>
        <v>6</v>
      </c>
      <c r="G23" s="120">
        <f t="shared" si="13"/>
        <v>7</v>
      </c>
      <c r="H23" s="120">
        <f t="shared" si="13"/>
        <v>8</v>
      </c>
    </row>
    <row r="24" spans="1:8">
      <c r="A24" s="18" t="str">
        <f>A7</f>
        <v>Abandon  A</v>
      </c>
      <c r="B24" s="111">
        <v>25</v>
      </c>
      <c r="C24" s="18">
        <f t="shared" ref="C24:H28" si="14">B24</f>
        <v>25</v>
      </c>
      <c r="D24" s="18">
        <f t="shared" si="14"/>
        <v>25</v>
      </c>
      <c r="E24" s="18">
        <f t="shared" si="14"/>
        <v>25</v>
      </c>
      <c r="F24" s="18">
        <f t="shared" si="14"/>
        <v>25</v>
      </c>
      <c r="G24" s="18">
        <f t="shared" si="14"/>
        <v>25</v>
      </c>
      <c r="H24" s="18">
        <f t="shared" si="14"/>
        <v>25</v>
      </c>
    </row>
    <row r="25" spans="1:8">
      <c r="A25" s="18" t="s">
        <v>223</v>
      </c>
      <c r="B25" s="112">
        <v>0.04</v>
      </c>
      <c r="C25" s="18">
        <f t="shared" si="14"/>
        <v>0.04</v>
      </c>
      <c r="D25" s="18">
        <f t="shared" si="14"/>
        <v>0.04</v>
      </c>
      <c r="E25" s="18">
        <f t="shared" si="14"/>
        <v>0.04</v>
      </c>
      <c r="F25" s="18">
        <f t="shared" si="14"/>
        <v>0.04</v>
      </c>
      <c r="G25" s="18">
        <f t="shared" si="14"/>
        <v>0.04</v>
      </c>
      <c r="H25" s="18">
        <f t="shared" si="14"/>
        <v>0.04</v>
      </c>
    </row>
    <row r="26" spans="1:8">
      <c r="A26" s="18" t="s">
        <v>224</v>
      </c>
      <c r="B26" s="112">
        <v>0.04</v>
      </c>
      <c r="C26" s="18">
        <f t="shared" si="14"/>
        <v>0.04</v>
      </c>
      <c r="D26" s="18">
        <f t="shared" si="14"/>
        <v>0.04</v>
      </c>
      <c r="E26" s="18">
        <f t="shared" si="14"/>
        <v>0.04</v>
      </c>
      <c r="F26" s="18">
        <f t="shared" si="14"/>
        <v>0.04</v>
      </c>
      <c r="G26" s="18">
        <f t="shared" si="14"/>
        <v>0.04</v>
      </c>
      <c r="H26" s="18">
        <f t="shared" si="14"/>
        <v>0.04</v>
      </c>
    </row>
    <row r="27" spans="1:8">
      <c r="A27" s="18" t="s">
        <v>225</v>
      </c>
      <c r="B27" s="112">
        <v>0</v>
      </c>
      <c r="C27" s="112">
        <f t="shared" si="14"/>
        <v>0</v>
      </c>
      <c r="D27" s="112">
        <f t="shared" si="14"/>
        <v>0</v>
      </c>
      <c r="E27" s="112">
        <f t="shared" si="14"/>
        <v>0</v>
      </c>
      <c r="F27" s="112">
        <f t="shared" si="14"/>
        <v>0</v>
      </c>
      <c r="G27" s="112">
        <f t="shared" si="14"/>
        <v>0</v>
      </c>
      <c r="H27" s="112">
        <f t="shared" si="14"/>
        <v>0</v>
      </c>
    </row>
    <row r="28" spans="1:8">
      <c r="A28" s="18" t="s">
        <v>144</v>
      </c>
      <c r="B28" s="112">
        <v>0.2</v>
      </c>
      <c r="C28" s="112">
        <f t="shared" si="14"/>
        <v>0.2</v>
      </c>
      <c r="D28" s="112">
        <f t="shared" si="14"/>
        <v>0.2</v>
      </c>
      <c r="E28" s="112">
        <f t="shared" si="14"/>
        <v>0.2</v>
      </c>
      <c r="F28" s="112">
        <f t="shared" si="14"/>
        <v>0.2</v>
      </c>
      <c r="G28" s="112">
        <f t="shared" si="14"/>
        <v>0.2</v>
      </c>
      <c r="H28" s="112">
        <f t="shared" si="14"/>
        <v>0.2</v>
      </c>
    </row>
    <row r="29" spans="1:8" ht="14.25">
      <c r="A29" s="16" t="s">
        <v>196</v>
      </c>
      <c r="B29" s="14">
        <f t="shared" ref="B29:H29" si="15">0.5-(B25-B26)/(B28^2)+SQRT(((B25-B26)/(B28^2)-0.5)^2 + 2*B25/(B28^2))</f>
        <v>1.9999999999999998</v>
      </c>
      <c r="C29" s="14">
        <f t="shared" si="15"/>
        <v>1.9999999999999998</v>
      </c>
      <c r="D29" s="14">
        <f t="shared" si="15"/>
        <v>1.9999999999999998</v>
      </c>
      <c r="E29" s="14">
        <f t="shared" si="15"/>
        <v>1.9999999999999998</v>
      </c>
      <c r="F29" s="14">
        <f t="shared" si="15"/>
        <v>1.9999999999999998</v>
      </c>
      <c r="G29" s="14">
        <f t="shared" si="15"/>
        <v>1.9999999999999998</v>
      </c>
      <c r="H29" s="14">
        <f t="shared" si="15"/>
        <v>1.9999999999999998</v>
      </c>
    </row>
    <row r="30" spans="1:8" ht="14.25">
      <c r="A30" s="16" t="s">
        <v>227</v>
      </c>
      <c r="B30" s="14">
        <f t="shared" ref="B30:H30" si="16">0.5-(B25-B26)/(B28^2)-SQRT(((B25-B26)/(B28^2)-0.5)^2 + 2*B25/(B28^2))</f>
        <v>-0.99999999999999978</v>
      </c>
      <c r="C30" s="14">
        <f t="shared" si="16"/>
        <v>-0.99999999999999978</v>
      </c>
      <c r="D30" s="14">
        <f t="shared" si="16"/>
        <v>-0.99999999999999978</v>
      </c>
      <c r="E30" s="14">
        <f t="shared" si="16"/>
        <v>-0.99999999999999978</v>
      </c>
      <c r="F30" s="14">
        <f t="shared" si="16"/>
        <v>-0.99999999999999978</v>
      </c>
      <c r="G30" s="14">
        <f t="shared" si="16"/>
        <v>-0.99999999999999978</v>
      </c>
      <c r="H30" s="14">
        <f t="shared" si="16"/>
        <v>-0.99999999999999978</v>
      </c>
    </row>
    <row r="31" spans="1:8" ht="14.25">
      <c r="A31" s="113" t="s">
        <v>328</v>
      </c>
      <c r="B31" s="114">
        <f t="shared" ref="B31:H31" si="17">B22+B25*B23</f>
        <v>1.08</v>
      </c>
      <c r="C31" s="114">
        <f t="shared" si="17"/>
        <v>1.1200000000000001</v>
      </c>
      <c r="D31" s="114">
        <f t="shared" si="17"/>
        <v>1.1599999999999999</v>
      </c>
      <c r="E31" s="114">
        <f t="shared" si="17"/>
        <v>1.2</v>
      </c>
      <c r="F31" s="114">
        <f t="shared" si="17"/>
        <v>1.24</v>
      </c>
      <c r="G31" s="114">
        <f t="shared" si="17"/>
        <v>1.28</v>
      </c>
      <c r="H31" s="114">
        <f t="shared" si="17"/>
        <v>1.32</v>
      </c>
    </row>
    <row r="32" spans="1:8" ht="14.25">
      <c r="A32" s="113" t="s">
        <v>329</v>
      </c>
      <c r="B32" s="114">
        <f t="shared" ref="B32:H32" si="18">B22-B25*B24</f>
        <v>0</v>
      </c>
      <c r="C32" s="114">
        <f t="shared" si="18"/>
        <v>0</v>
      </c>
      <c r="D32" s="114">
        <f t="shared" si="18"/>
        <v>0</v>
      </c>
      <c r="E32" s="114">
        <f t="shared" si="18"/>
        <v>0</v>
      </c>
      <c r="F32" s="114">
        <f t="shared" si="18"/>
        <v>0</v>
      </c>
      <c r="G32" s="114">
        <f t="shared" si="18"/>
        <v>0</v>
      </c>
      <c r="H32" s="114">
        <f t="shared" si="18"/>
        <v>0</v>
      </c>
    </row>
    <row r="33" spans="1:8" ht="14.25">
      <c r="A33" s="113" t="s">
        <v>330</v>
      </c>
      <c r="B33" s="114">
        <f t="shared" ref="B33:H33" si="19">(B25-B27)/B25*B29/(B29-1)*B31</f>
        <v>2.16</v>
      </c>
      <c r="C33" s="114">
        <f t="shared" si="19"/>
        <v>2.2400000000000002</v>
      </c>
      <c r="D33" s="114">
        <f t="shared" si="19"/>
        <v>2.3199999999999998</v>
      </c>
      <c r="E33" s="114">
        <f t="shared" si="19"/>
        <v>2.4</v>
      </c>
      <c r="F33" s="114">
        <f t="shared" si="19"/>
        <v>2.48</v>
      </c>
      <c r="G33" s="114">
        <f t="shared" si="19"/>
        <v>2.56</v>
      </c>
      <c r="H33" s="114">
        <f t="shared" si="19"/>
        <v>2.64</v>
      </c>
    </row>
    <row r="34" spans="1:8" ht="14.25">
      <c r="A34" s="113" t="s">
        <v>331</v>
      </c>
      <c r="B34" s="114">
        <f t="shared" ref="B34:H34" si="20">(B25-B27)/B25*(-B30/(-B30+1))*B32</f>
        <v>0</v>
      </c>
      <c r="C34" s="114">
        <f t="shared" si="20"/>
        <v>0</v>
      </c>
      <c r="D34" s="114">
        <f t="shared" si="20"/>
        <v>0</v>
      </c>
      <c r="E34" s="114">
        <f t="shared" si="20"/>
        <v>0</v>
      </c>
      <c r="F34" s="114">
        <f t="shared" si="20"/>
        <v>0</v>
      </c>
      <c r="G34" s="114">
        <f t="shared" si="20"/>
        <v>0</v>
      </c>
      <c r="H34" s="114">
        <f t="shared" si="20"/>
        <v>0</v>
      </c>
    </row>
    <row r="35" spans="1:8" ht="14.25">
      <c r="A35" s="116" t="s">
        <v>332</v>
      </c>
      <c r="B35" s="121">
        <f>B31-B32</f>
        <v>1.08</v>
      </c>
      <c r="C35" s="121">
        <f t="shared" ref="C35:H35" si="21">C31-C32</f>
        <v>1.1200000000000001</v>
      </c>
      <c r="D35" s="121">
        <f t="shared" si="21"/>
        <v>1.1599999999999999</v>
      </c>
      <c r="E35" s="121">
        <f t="shared" si="21"/>
        <v>1.2</v>
      </c>
      <c r="F35" s="121">
        <f t="shared" si="21"/>
        <v>1.24</v>
      </c>
      <c r="G35" s="121">
        <f t="shared" si="21"/>
        <v>1.28</v>
      </c>
      <c r="H35" s="121">
        <f t="shared" si="21"/>
        <v>1.32</v>
      </c>
    </row>
    <row r="36" spans="1:8" ht="14.25">
      <c r="A36" s="116" t="s">
        <v>333</v>
      </c>
      <c r="B36" s="121">
        <f>B33-B34</f>
        <v>2.16</v>
      </c>
      <c r="C36" s="121">
        <f t="shared" ref="C36:H36" si="22">C33-C34</f>
        <v>2.2400000000000002</v>
      </c>
      <c r="D36" s="121">
        <f t="shared" si="22"/>
        <v>2.3199999999999998</v>
      </c>
      <c r="E36" s="121">
        <f t="shared" si="22"/>
        <v>2.4</v>
      </c>
      <c r="F36" s="121">
        <f t="shared" si="22"/>
        <v>2.48</v>
      </c>
      <c r="G36" s="121">
        <f t="shared" si="22"/>
        <v>2.56</v>
      </c>
      <c r="H36" s="121">
        <f t="shared" si="22"/>
        <v>2.64</v>
      </c>
    </row>
    <row r="37" spans="1:8" ht="14.25">
      <c r="A37" s="116" t="s">
        <v>334</v>
      </c>
      <c r="B37" s="117">
        <f>B36/B35</f>
        <v>2</v>
      </c>
      <c r="C37" s="117">
        <f t="shared" ref="C37:H37" si="23">C36/C35</f>
        <v>2</v>
      </c>
      <c r="D37" s="117">
        <f t="shared" si="23"/>
        <v>2</v>
      </c>
      <c r="E37" s="117">
        <f t="shared" si="23"/>
        <v>2</v>
      </c>
      <c r="F37" s="117">
        <f t="shared" si="23"/>
        <v>2</v>
      </c>
      <c r="G37" s="117">
        <f t="shared" si="23"/>
        <v>2</v>
      </c>
      <c r="H37" s="117">
        <f t="shared" si="23"/>
        <v>2</v>
      </c>
    </row>
    <row r="38" spans="1:8">
      <c r="A38" s="18"/>
      <c r="B38" s="18"/>
      <c r="C38" s="18"/>
      <c r="D38" s="18"/>
      <c r="E38" s="18"/>
      <c r="F38" s="18"/>
      <c r="G38" s="18"/>
      <c r="H38" s="18"/>
    </row>
    <row r="39" spans="1:8">
      <c r="A39" s="18" t="str">
        <f>A22</f>
        <v>Operating cost C</v>
      </c>
      <c r="B39" s="18">
        <v>1</v>
      </c>
      <c r="C39" s="18">
        <f t="shared" ref="C39:H41" si="24">B39</f>
        <v>1</v>
      </c>
      <c r="D39" s="18">
        <f t="shared" si="24"/>
        <v>1</v>
      </c>
      <c r="E39" s="18">
        <f t="shared" si="24"/>
        <v>1</v>
      </c>
      <c r="F39" s="18">
        <f t="shared" si="24"/>
        <v>1</v>
      </c>
      <c r="G39" s="18">
        <f t="shared" si="24"/>
        <v>1</v>
      </c>
      <c r="H39" s="18">
        <f t="shared" si="24"/>
        <v>1</v>
      </c>
    </row>
    <row r="40" spans="1:8">
      <c r="A40" s="18" t="str">
        <f>A23</f>
        <v>Investment K</v>
      </c>
      <c r="B40" s="18">
        <v>5</v>
      </c>
      <c r="C40" s="18">
        <f t="shared" si="24"/>
        <v>5</v>
      </c>
      <c r="D40" s="18">
        <f t="shared" si="24"/>
        <v>5</v>
      </c>
      <c r="E40" s="18">
        <f t="shared" si="24"/>
        <v>5</v>
      </c>
      <c r="F40" s="18">
        <f t="shared" si="24"/>
        <v>5</v>
      </c>
      <c r="G40" s="18">
        <f t="shared" si="24"/>
        <v>5</v>
      </c>
      <c r="H40" s="18">
        <f t="shared" si="24"/>
        <v>5</v>
      </c>
    </row>
    <row r="41" spans="1:8">
      <c r="A41" s="18" t="str">
        <f>A24</f>
        <v>Abandon  A</v>
      </c>
      <c r="B41" s="111">
        <v>25</v>
      </c>
      <c r="C41" s="18">
        <f t="shared" si="24"/>
        <v>25</v>
      </c>
      <c r="D41" s="18">
        <f t="shared" si="24"/>
        <v>25</v>
      </c>
      <c r="E41" s="18">
        <f t="shared" si="24"/>
        <v>25</v>
      </c>
      <c r="F41" s="18">
        <f t="shared" si="24"/>
        <v>25</v>
      </c>
      <c r="G41" s="18">
        <f t="shared" si="24"/>
        <v>25</v>
      </c>
      <c r="H41" s="18">
        <f t="shared" si="24"/>
        <v>25</v>
      </c>
    </row>
    <row r="42" spans="1:8">
      <c r="A42" s="120" t="s">
        <v>223</v>
      </c>
      <c r="B42" s="120">
        <v>0.04</v>
      </c>
      <c r="C42" s="120">
        <f>B42+0.01</f>
        <v>0.05</v>
      </c>
      <c r="D42" s="120">
        <f t="shared" ref="D42:H42" si="25">C42+0.01</f>
        <v>6.0000000000000005E-2</v>
      </c>
      <c r="E42" s="120">
        <f t="shared" si="25"/>
        <v>7.0000000000000007E-2</v>
      </c>
      <c r="F42" s="120">
        <f t="shared" si="25"/>
        <v>0.08</v>
      </c>
      <c r="G42" s="120">
        <f t="shared" si="25"/>
        <v>0.09</v>
      </c>
      <c r="H42" s="120">
        <f t="shared" si="25"/>
        <v>9.9999999999999992E-2</v>
      </c>
    </row>
    <row r="43" spans="1:8">
      <c r="A43" s="18" t="s">
        <v>224</v>
      </c>
      <c r="B43" s="112">
        <f>B42-B44</f>
        <v>0.04</v>
      </c>
      <c r="C43" s="112">
        <f t="shared" ref="C43:H43" si="26">C42-C44</f>
        <v>0.05</v>
      </c>
      <c r="D43" s="112">
        <f t="shared" si="26"/>
        <v>6.0000000000000005E-2</v>
      </c>
      <c r="E43" s="112">
        <f t="shared" si="26"/>
        <v>7.0000000000000007E-2</v>
      </c>
      <c r="F43" s="112">
        <f t="shared" si="26"/>
        <v>0.08</v>
      </c>
      <c r="G43" s="112">
        <f t="shared" si="26"/>
        <v>0.09</v>
      </c>
      <c r="H43" s="112">
        <f t="shared" si="26"/>
        <v>9.9999999999999992E-2</v>
      </c>
    </row>
    <row r="44" spans="1:8">
      <c r="A44" s="18" t="s">
        <v>225</v>
      </c>
      <c r="B44" s="112">
        <v>0</v>
      </c>
      <c r="C44" s="112">
        <f t="shared" ref="C44:H45" si="27">B44</f>
        <v>0</v>
      </c>
      <c r="D44" s="112">
        <f t="shared" si="27"/>
        <v>0</v>
      </c>
      <c r="E44" s="112">
        <f t="shared" si="27"/>
        <v>0</v>
      </c>
      <c r="F44" s="112">
        <f t="shared" si="27"/>
        <v>0</v>
      </c>
      <c r="G44" s="112">
        <f t="shared" si="27"/>
        <v>0</v>
      </c>
      <c r="H44" s="112">
        <f t="shared" si="27"/>
        <v>0</v>
      </c>
    </row>
    <row r="45" spans="1:8">
      <c r="A45" s="18" t="s">
        <v>144</v>
      </c>
      <c r="B45" s="112">
        <v>0.2</v>
      </c>
      <c r="C45" s="112">
        <f t="shared" si="27"/>
        <v>0.2</v>
      </c>
      <c r="D45" s="112">
        <f t="shared" si="27"/>
        <v>0.2</v>
      </c>
      <c r="E45" s="112">
        <f t="shared" si="27"/>
        <v>0.2</v>
      </c>
      <c r="F45" s="112">
        <f t="shared" si="27"/>
        <v>0.2</v>
      </c>
      <c r="G45" s="112">
        <f t="shared" si="27"/>
        <v>0.2</v>
      </c>
      <c r="H45" s="112">
        <f t="shared" si="27"/>
        <v>0.2</v>
      </c>
    </row>
    <row r="46" spans="1:8" ht="14.25">
      <c r="A46" s="16" t="s">
        <v>196</v>
      </c>
      <c r="B46" s="14">
        <f t="shared" ref="B46:H46" si="28">0.5-(B42-B43)/(B45^2)+SQRT(((B42-B43)/(B45^2)-0.5)^2 + 2*B42/(B45^2))</f>
        <v>1.9999999999999998</v>
      </c>
      <c r="C46" s="14">
        <f t="shared" si="28"/>
        <v>2.1583123951776999</v>
      </c>
      <c r="D46" s="14">
        <f t="shared" si="28"/>
        <v>2.3027756377319948</v>
      </c>
      <c r="E46" s="14">
        <f t="shared" si="28"/>
        <v>2.4364916731037081</v>
      </c>
      <c r="F46" s="14">
        <f t="shared" si="28"/>
        <v>2.5615528128088298</v>
      </c>
      <c r="G46" s="14">
        <f t="shared" si="28"/>
        <v>2.6794494717703365</v>
      </c>
      <c r="H46" s="14">
        <f t="shared" si="28"/>
        <v>2.7912878474779195</v>
      </c>
    </row>
    <row r="47" spans="1:8" ht="14.25">
      <c r="A47" s="16" t="s">
        <v>227</v>
      </c>
      <c r="B47" s="14">
        <f t="shared" ref="B47:H47" si="29">0.5-(B42-B43)/(B45^2)-SQRT(((B42-B43)/(B45^2)-0.5)^2 + 2*B42/(B45^2))</f>
        <v>-0.99999999999999978</v>
      </c>
      <c r="C47" s="14">
        <f t="shared" si="29"/>
        <v>-1.1583123951776997</v>
      </c>
      <c r="D47" s="14">
        <f t="shared" si="29"/>
        <v>-1.3027756377319946</v>
      </c>
      <c r="E47" s="14">
        <f t="shared" si="29"/>
        <v>-1.4364916731037083</v>
      </c>
      <c r="F47" s="14">
        <f t="shared" si="29"/>
        <v>-1.5615528128088298</v>
      </c>
      <c r="G47" s="14">
        <f t="shared" si="29"/>
        <v>-1.6794494717703365</v>
      </c>
      <c r="H47" s="14">
        <f t="shared" si="29"/>
        <v>-1.7912878474779195</v>
      </c>
    </row>
    <row r="48" spans="1:8" ht="14.25">
      <c r="A48" s="113" t="s">
        <v>328</v>
      </c>
      <c r="B48" s="114">
        <f t="shared" ref="B48:G48" si="30">B39+B42*B40</f>
        <v>1.2</v>
      </c>
      <c r="C48" s="114">
        <f t="shared" si="30"/>
        <v>1.25</v>
      </c>
      <c r="D48" s="114">
        <f t="shared" si="30"/>
        <v>1.3</v>
      </c>
      <c r="E48" s="114">
        <f t="shared" si="30"/>
        <v>1.35</v>
      </c>
      <c r="F48" s="114">
        <f t="shared" si="30"/>
        <v>1.4</v>
      </c>
      <c r="G48" s="114">
        <f t="shared" si="30"/>
        <v>1.45</v>
      </c>
      <c r="H48" s="114">
        <f>H39+H42*H40</f>
        <v>1.5</v>
      </c>
    </row>
    <row r="49" spans="1:8" ht="14.25">
      <c r="A49" s="113" t="s">
        <v>329</v>
      </c>
      <c r="B49" s="114">
        <f>IF((B39-B42*B41)&gt;0,B39-B42*B41,0)</f>
        <v>0</v>
      </c>
      <c r="C49" s="114">
        <f t="shared" ref="C49:H49" si="31">IF((C39-C42*C41)&gt;0,C39-C42*C41,0)</f>
        <v>0</v>
      </c>
      <c r="D49" s="114">
        <f t="shared" si="31"/>
        <v>0</v>
      </c>
      <c r="E49" s="114">
        <f t="shared" si="31"/>
        <v>0</v>
      </c>
      <c r="F49" s="114">
        <f t="shared" si="31"/>
        <v>0</v>
      </c>
      <c r="G49" s="114">
        <f t="shared" si="31"/>
        <v>0</v>
      </c>
      <c r="H49" s="114">
        <f t="shared" si="31"/>
        <v>0</v>
      </c>
    </row>
    <row r="50" spans="1:8" ht="14.25">
      <c r="A50" s="113" t="s">
        <v>330</v>
      </c>
      <c r="B50" s="114">
        <f t="shared" ref="B50:G50" si="32">(B42-B44)/B42*B46/(B46-1)*B48</f>
        <v>2.4</v>
      </c>
      <c r="C50" s="114">
        <f>(C42-C44)/C42*C46/(C46-1)*C48</f>
        <v>2.32915619758885</v>
      </c>
      <c r="D50" s="114">
        <f t="shared" si="32"/>
        <v>2.2978694430171975</v>
      </c>
      <c r="E50" s="114">
        <f t="shared" si="32"/>
        <v>2.2897896453400022</v>
      </c>
      <c r="F50" s="114">
        <f t="shared" si="32"/>
        <v>2.2965434844830908</v>
      </c>
      <c r="G50" s="114">
        <f t="shared" si="32"/>
        <v>2.3133781631259973</v>
      </c>
      <c r="H50" s="114">
        <f>(H42-H44)/H42*(H46/(H46-1))*H48</f>
        <v>2.3373863542433764</v>
      </c>
    </row>
    <row r="51" spans="1:8" ht="14.25">
      <c r="A51" s="113" t="s">
        <v>331</v>
      </c>
      <c r="B51" s="114">
        <f t="shared" ref="B51:H51" si="33">(B42-B44)/B42*(-B47/(-B47+1))*B49</f>
        <v>0</v>
      </c>
      <c r="C51" s="114">
        <f t="shared" si="33"/>
        <v>0</v>
      </c>
      <c r="D51" s="114">
        <f t="shared" si="33"/>
        <v>0</v>
      </c>
      <c r="E51" s="114">
        <f t="shared" si="33"/>
        <v>0</v>
      </c>
      <c r="F51" s="114">
        <f t="shared" si="33"/>
        <v>0</v>
      </c>
      <c r="G51" s="114">
        <f t="shared" si="33"/>
        <v>0</v>
      </c>
      <c r="H51" s="114">
        <f t="shared" si="33"/>
        <v>0</v>
      </c>
    </row>
    <row r="52" spans="1:8" ht="14.25">
      <c r="A52" s="116" t="s">
        <v>332</v>
      </c>
      <c r="B52" s="121">
        <f>B48-B49</f>
        <v>1.2</v>
      </c>
      <c r="C52" s="121">
        <f t="shared" ref="C52:H52" si="34">C48-C49</f>
        <v>1.25</v>
      </c>
      <c r="D52" s="121">
        <f t="shared" si="34"/>
        <v>1.3</v>
      </c>
      <c r="E52" s="121">
        <f t="shared" si="34"/>
        <v>1.35</v>
      </c>
      <c r="F52" s="121">
        <f t="shared" si="34"/>
        <v>1.4</v>
      </c>
      <c r="G52" s="121">
        <f t="shared" si="34"/>
        <v>1.45</v>
      </c>
      <c r="H52" s="121">
        <f t="shared" si="34"/>
        <v>1.5</v>
      </c>
    </row>
    <row r="53" spans="1:8" ht="14.25">
      <c r="A53" s="116" t="s">
        <v>333</v>
      </c>
      <c r="B53" s="121">
        <f>B50-B51</f>
        <v>2.4</v>
      </c>
      <c r="C53" s="121">
        <f t="shared" ref="C53:H53" si="35">C50-C51</f>
        <v>2.32915619758885</v>
      </c>
      <c r="D53" s="121">
        <f t="shared" si="35"/>
        <v>2.2978694430171975</v>
      </c>
      <c r="E53" s="121">
        <f t="shared" si="35"/>
        <v>2.2897896453400022</v>
      </c>
      <c r="F53" s="121">
        <f t="shared" si="35"/>
        <v>2.2965434844830908</v>
      </c>
      <c r="G53" s="121">
        <f t="shared" si="35"/>
        <v>2.3133781631259973</v>
      </c>
      <c r="H53" s="121">
        <f t="shared" si="35"/>
        <v>2.3373863542433764</v>
      </c>
    </row>
    <row r="54" spans="1:8" ht="14.25">
      <c r="A54" s="116" t="s">
        <v>334</v>
      </c>
      <c r="B54" s="117">
        <f>B53/B52</f>
        <v>2</v>
      </c>
      <c r="C54" s="117">
        <f t="shared" ref="C54:H54" si="36">C53/C52</f>
        <v>1.86332495807108</v>
      </c>
      <c r="D54" s="117">
        <f t="shared" si="36"/>
        <v>1.767591879243998</v>
      </c>
      <c r="E54" s="117">
        <f t="shared" si="36"/>
        <v>1.6961404780296312</v>
      </c>
      <c r="F54" s="117">
        <f t="shared" si="36"/>
        <v>1.6403882032022077</v>
      </c>
      <c r="G54" s="117">
        <f t="shared" si="36"/>
        <v>1.5954332159489637</v>
      </c>
      <c r="H54" s="117">
        <f t="shared" si="36"/>
        <v>1.5582575694955842</v>
      </c>
    </row>
    <row r="55" spans="1:8">
      <c r="A55" s="2" t="s">
        <v>736</v>
      </c>
      <c r="B55" s="3">
        <f>(B43/B42)*(B46/(B46-1))</f>
        <v>2</v>
      </c>
      <c r="C55" s="3">
        <f t="shared" ref="C55:G55" si="37">(C43/C42)*(C46/(C46-1))</f>
        <v>1.86332495807108</v>
      </c>
      <c r="D55" s="3">
        <f t="shared" si="37"/>
        <v>1.7675918792439982</v>
      </c>
      <c r="E55" s="3">
        <f t="shared" si="37"/>
        <v>1.6961404780296312</v>
      </c>
      <c r="F55" s="3">
        <f t="shared" si="37"/>
        <v>1.6403882032022077</v>
      </c>
      <c r="G55" s="3">
        <f t="shared" si="37"/>
        <v>1.5954332159489637</v>
      </c>
      <c r="H55" s="3">
        <f>(H43/H42)*(H46/(H46-1))</f>
        <v>1.5582575694955842</v>
      </c>
    </row>
    <row r="56" spans="1:8">
      <c r="A56" s="18" t="str">
        <f>A39</f>
        <v>Operating cost C</v>
      </c>
      <c r="B56" s="18">
        <v>1</v>
      </c>
      <c r="C56" s="18">
        <f t="shared" ref="C56:H59" si="38">B56</f>
        <v>1</v>
      </c>
      <c r="D56" s="18">
        <f t="shared" si="38"/>
        <v>1</v>
      </c>
      <c r="E56" s="18">
        <f t="shared" si="38"/>
        <v>1</v>
      </c>
      <c r="F56" s="18">
        <f t="shared" si="38"/>
        <v>1</v>
      </c>
      <c r="G56" s="18">
        <f t="shared" si="38"/>
        <v>1</v>
      </c>
      <c r="H56" s="18">
        <f t="shared" si="38"/>
        <v>1</v>
      </c>
    </row>
    <row r="57" spans="1:8">
      <c r="A57" s="34" t="str">
        <f>A40</f>
        <v>Investment K</v>
      </c>
      <c r="B57" s="18">
        <v>5</v>
      </c>
      <c r="C57" s="18">
        <f t="shared" si="38"/>
        <v>5</v>
      </c>
      <c r="D57" s="18">
        <f t="shared" si="38"/>
        <v>5</v>
      </c>
      <c r="E57" s="18">
        <f t="shared" si="38"/>
        <v>5</v>
      </c>
      <c r="F57" s="18">
        <f t="shared" si="38"/>
        <v>5</v>
      </c>
      <c r="G57" s="18">
        <f t="shared" si="38"/>
        <v>5</v>
      </c>
      <c r="H57" s="18">
        <f t="shared" si="38"/>
        <v>5</v>
      </c>
    </row>
    <row r="58" spans="1:8">
      <c r="A58" s="18" t="str">
        <f>A41</f>
        <v>Abandon  A</v>
      </c>
      <c r="B58" s="111">
        <v>25</v>
      </c>
      <c r="C58" s="18">
        <f t="shared" si="38"/>
        <v>25</v>
      </c>
      <c r="D58" s="18">
        <f t="shared" si="38"/>
        <v>25</v>
      </c>
      <c r="E58" s="18">
        <f t="shared" si="38"/>
        <v>25</v>
      </c>
      <c r="F58" s="18">
        <f t="shared" si="38"/>
        <v>25</v>
      </c>
      <c r="G58" s="18">
        <f t="shared" si="38"/>
        <v>25</v>
      </c>
      <c r="H58" s="18">
        <f t="shared" si="38"/>
        <v>25</v>
      </c>
    </row>
    <row r="59" spans="1:8">
      <c r="A59" s="18" t="s">
        <v>223</v>
      </c>
      <c r="B59" s="112">
        <v>0.04</v>
      </c>
      <c r="C59" s="18">
        <f t="shared" si="38"/>
        <v>0.04</v>
      </c>
      <c r="D59" s="18">
        <f t="shared" si="38"/>
        <v>0.04</v>
      </c>
      <c r="E59" s="18">
        <f t="shared" si="38"/>
        <v>0.04</v>
      </c>
      <c r="F59" s="18">
        <f t="shared" si="38"/>
        <v>0.04</v>
      </c>
      <c r="G59" s="18">
        <f t="shared" si="38"/>
        <v>0.04</v>
      </c>
      <c r="H59" s="18">
        <f t="shared" si="38"/>
        <v>0.04</v>
      </c>
    </row>
    <row r="60" spans="1:8">
      <c r="A60" s="120" t="s">
        <v>224</v>
      </c>
      <c r="B60" s="120">
        <f t="shared" ref="B60:C60" si="39">C60-0.005</f>
        <v>2.5000000000000001E-2</v>
      </c>
      <c r="C60" s="120">
        <f t="shared" si="39"/>
        <v>3.0000000000000002E-2</v>
      </c>
      <c r="D60" s="120">
        <f>E60-0.005</f>
        <v>3.5000000000000003E-2</v>
      </c>
      <c r="E60" s="120">
        <v>0.04</v>
      </c>
      <c r="F60" s="120">
        <f t="shared" ref="F60:H60" si="40">E60+0.005</f>
        <v>4.4999999999999998E-2</v>
      </c>
      <c r="G60" s="120">
        <f t="shared" si="40"/>
        <v>4.9999999999999996E-2</v>
      </c>
      <c r="H60" s="120">
        <f t="shared" si="40"/>
        <v>5.4999999999999993E-2</v>
      </c>
    </row>
    <row r="61" spans="1:8">
      <c r="A61" s="18" t="s">
        <v>225</v>
      </c>
      <c r="B61" s="112">
        <v>0</v>
      </c>
      <c r="C61" s="112">
        <f t="shared" ref="C61:H62" si="41">B61</f>
        <v>0</v>
      </c>
      <c r="D61" s="112">
        <f t="shared" si="41"/>
        <v>0</v>
      </c>
      <c r="E61" s="112">
        <f t="shared" si="41"/>
        <v>0</v>
      </c>
      <c r="F61" s="112">
        <f t="shared" si="41"/>
        <v>0</v>
      </c>
      <c r="G61" s="112">
        <f t="shared" si="41"/>
        <v>0</v>
      </c>
      <c r="H61" s="112">
        <f t="shared" si="41"/>
        <v>0</v>
      </c>
    </row>
    <row r="62" spans="1:8">
      <c r="A62" s="18" t="s">
        <v>144</v>
      </c>
      <c r="B62" s="112">
        <v>0.2</v>
      </c>
      <c r="C62" s="112">
        <f t="shared" si="41"/>
        <v>0.2</v>
      </c>
      <c r="D62" s="112">
        <f t="shared" si="41"/>
        <v>0.2</v>
      </c>
      <c r="E62" s="112">
        <f t="shared" si="41"/>
        <v>0.2</v>
      </c>
      <c r="F62" s="112">
        <f t="shared" si="41"/>
        <v>0.2</v>
      </c>
      <c r="G62" s="112">
        <f t="shared" si="41"/>
        <v>0.2</v>
      </c>
      <c r="H62" s="112">
        <f t="shared" si="41"/>
        <v>0.2</v>
      </c>
    </row>
    <row r="63" spans="1:8" ht="14.25">
      <c r="A63" s="16" t="s">
        <v>196</v>
      </c>
      <c r="B63" s="14">
        <f t="shared" ref="B63:H63" si="42">0.5-(B59-B60)/(B62^2)+SQRT(((B59-B60)/(B62^2)-0.5)^2 + 2*B59/(B62^2))</f>
        <v>1.5447270864500684</v>
      </c>
      <c r="C63" s="14">
        <f t="shared" si="42"/>
        <v>1.6861406616345072</v>
      </c>
      <c r="D63" s="14">
        <f t="shared" si="42"/>
        <v>1.8380874888399532</v>
      </c>
      <c r="E63" s="14">
        <f t="shared" si="42"/>
        <v>1.9999999999999998</v>
      </c>
      <c r="F63" s="14">
        <f t="shared" si="42"/>
        <v>2.1711646096066226</v>
      </c>
      <c r="G63" s="14">
        <f t="shared" si="42"/>
        <v>2.3507810593582117</v>
      </c>
      <c r="H63" s="14">
        <f t="shared" si="42"/>
        <v>2.5380168369562583</v>
      </c>
    </row>
    <row r="64" spans="1:8" ht="14.25">
      <c r="A64" s="16" t="s">
        <v>227</v>
      </c>
      <c r="B64" s="14">
        <f t="shared" ref="B64:H64" si="43">0.5-(B59-B60)/(B62^2)-SQRT(((B59-B60)/(B62^2)-0.5)^2 + 2*B59/(B62^2))</f>
        <v>-1.294727086450068</v>
      </c>
      <c r="C64" s="14">
        <f t="shared" si="43"/>
        <v>-1.1861406616345067</v>
      </c>
      <c r="D64" s="14">
        <f t="shared" si="43"/>
        <v>-1.0880874888399528</v>
      </c>
      <c r="E64" s="14">
        <f t="shared" si="43"/>
        <v>-0.99999999999999978</v>
      </c>
      <c r="F64" s="14">
        <f t="shared" si="43"/>
        <v>-0.92116460960662272</v>
      </c>
      <c r="G64" s="14">
        <f t="shared" si="43"/>
        <v>-0.85078105935821213</v>
      </c>
      <c r="H64" s="14">
        <f t="shared" si="43"/>
        <v>-0.78801683695625879</v>
      </c>
    </row>
    <row r="65" spans="1:8" ht="14.25">
      <c r="A65" s="113" t="s">
        <v>328</v>
      </c>
      <c r="B65" s="114">
        <f t="shared" ref="B65:H65" si="44">B56+B59*B57</f>
        <v>1.2</v>
      </c>
      <c r="C65" s="114">
        <f t="shared" si="44"/>
        <v>1.2</v>
      </c>
      <c r="D65" s="114">
        <f t="shared" si="44"/>
        <v>1.2</v>
      </c>
      <c r="E65" s="114">
        <f t="shared" si="44"/>
        <v>1.2</v>
      </c>
      <c r="F65" s="114">
        <f t="shared" si="44"/>
        <v>1.2</v>
      </c>
      <c r="G65" s="114">
        <f t="shared" si="44"/>
        <v>1.2</v>
      </c>
      <c r="H65" s="114">
        <f t="shared" si="44"/>
        <v>1.2</v>
      </c>
    </row>
    <row r="66" spans="1:8" ht="14.25">
      <c r="A66" s="113" t="s">
        <v>329</v>
      </c>
      <c r="B66" s="114">
        <f t="shared" ref="B66:H66" si="45">B56-B59*B58</f>
        <v>0</v>
      </c>
      <c r="C66" s="114">
        <f t="shared" si="45"/>
        <v>0</v>
      </c>
      <c r="D66" s="114">
        <f t="shared" si="45"/>
        <v>0</v>
      </c>
      <c r="E66" s="114">
        <f t="shared" si="45"/>
        <v>0</v>
      </c>
      <c r="F66" s="114">
        <f t="shared" si="45"/>
        <v>0</v>
      </c>
      <c r="G66" s="114">
        <f t="shared" si="45"/>
        <v>0</v>
      </c>
      <c r="H66" s="114">
        <f t="shared" si="45"/>
        <v>0</v>
      </c>
    </row>
    <row r="67" spans="1:8" ht="14.25">
      <c r="A67" s="113" t="s">
        <v>330</v>
      </c>
      <c r="B67" s="114">
        <f t="shared" ref="B67:H67" si="46">(B59-B61)/B59*B63/(B63-1)*B65</f>
        <v>3.4029380029920655</v>
      </c>
      <c r="C67" s="114">
        <f t="shared" si="46"/>
        <v>2.9489125293076057</v>
      </c>
      <c r="D67" s="114">
        <f t="shared" si="46"/>
        <v>2.6318314209188247</v>
      </c>
      <c r="E67" s="114">
        <f t="shared" si="46"/>
        <v>2.4</v>
      </c>
      <c r="F67" s="114">
        <f t="shared" si="46"/>
        <v>2.2246211251235319</v>
      </c>
      <c r="G67" s="114">
        <f t="shared" si="46"/>
        <v>2.0883749084919421</v>
      </c>
      <c r="H67" s="114">
        <f t="shared" si="46"/>
        <v>1.9802255288536403</v>
      </c>
    </row>
    <row r="68" spans="1:8" ht="14.25">
      <c r="A68" s="113" t="s">
        <v>331</v>
      </c>
      <c r="B68" s="114">
        <f t="shared" ref="B68:H68" si="47">(B59-B61)/B59*(-B64/(-B64+1))*B66</f>
        <v>0</v>
      </c>
      <c r="C68" s="114">
        <f t="shared" si="47"/>
        <v>0</v>
      </c>
      <c r="D68" s="114">
        <f t="shared" si="47"/>
        <v>0</v>
      </c>
      <c r="E68" s="114">
        <f t="shared" si="47"/>
        <v>0</v>
      </c>
      <c r="F68" s="114">
        <f t="shared" si="47"/>
        <v>0</v>
      </c>
      <c r="G68" s="114">
        <f t="shared" si="47"/>
        <v>0</v>
      </c>
      <c r="H68" s="114">
        <f t="shared" si="47"/>
        <v>0</v>
      </c>
    </row>
    <row r="69" spans="1:8" ht="14.25">
      <c r="A69" s="116" t="s">
        <v>332</v>
      </c>
      <c r="B69" s="117">
        <f>B65-B66</f>
        <v>1.2</v>
      </c>
      <c r="C69" s="117">
        <f t="shared" ref="C69:H69" si="48">C65-C66</f>
        <v>1.2</v>
      </c>
      <c r="D69" s="117">
        <f t="shared" si="48"/>
        <v>1.2</v>
      </c>
      <c r="E69" s="117">
        <f t="shared" si="48"/>
        <v>1.2</v>
      </c>
      <c r="F69" s="117">
        <f t="shared" si="48"/>
        <v>1.2</v>
      </c>
      <c r="G69" s="117">
        <f t="shared" si="48"/>
        <v>1.2</v>
      </c>
      <c r="H69" s="117">
        <f t="shared" si="48"/>
        <v>1.2</v>
      </c>
    </row>
    <row r="70" spans="1:8" ht="14.25">
      <c r="A70" s="116" t="s">
        <v>333</v>
      </c>
      <c r="B70" s="117">
        <f>B67-B68</f>
        <v>3.4029380029920655</v>
      </c>
      <c r="C70" s="117">
        <f t="shared" ref="C70:H70" si="49">C67-C68</f>
        <v>2.9489125293076057</v>
      </c>
      <c r="D70" s="117">
        <f t="shared" si="49"/>
        <v>2.6318314209188247</v>
      </c>
      <c r="E70" s="117">
        <f t="shared" si="49"/>
        <v>2.4</v>
      </c>
      <c r="F70" s="117">
        <f t="shared" si="49"/>
        <v>2.2246211251235319</v>
      </c>
      <c r="G70" s="117">
        <f t="shared" si="49"/>
        <v>2.0883749084919421</v>
      </c>
      <c r="H70" s="117">
        <f t="shared" si="49"/>
        <v>1.9802255288536403</v>
      </c>
    </row>
    <row r="71" spans="1:8" ht="14.25">
      <c r="A71" s="116" t="s">
        <v>334</v>
      </c>
      <c r="B71" s="117">
        <f>B70/B69</f>
        <v>2.8357816691600548</v>
      </c>
      <c r="C71" s="117">
        <f t="shared" ref="C71:H71" si="50">C70/C69</f>
        <v>2.4574271077563381</v>
      </c>
      <c r="D71" s="117">
        <f t="shared" si="50"/>
        <v>2.1931928507656875</v>
      </c>
      <c r="E71" s="117">
        <f t="shared" si="50"/>
        <v>2</v>
      </c>
      <c r="F71" s="117">
        <f t="shared" si="50"/>
        <v>1.8538509376029433</v>
      </c>
      <c r="G71" s="117">
        <f t="shared" si="50"/>
        <v>1.7403124237432852</v>
      </c>
      <c r="H71" s="117">
        <f t="shared" si="50"/>
        <v>1.6501879407113671</v>
      </c>
    </row>
    <row r="72" spans="1:8">
      <c r="A72" s="122"/>
      <c r="B72" s="117"/>
      <c r="C72" s="119"/>
      <c r="D72" s="119"/>
      <c r="E72" s="119"/>
      <c r="F72" s="119"/>
      <c r="G72" s="119"/>
      <c r="H72" s="119"/>
    </row>
    <row r="73" spans="1:8">
      <c r="A73" s="18" t="s">
        <v>59</v>
      </c>
      <c r="B73" s="18">
        <v>1</v>
      </c>
      <c r="C73" s="18">
        <f t="shared" ref="C73:H78" si="51">B73</f>
        <v>1</v>
      </c>
      <c r="D73" s="18">
        <f t="shared" si="51"/>
        <v>1</v>
      </c>
      <c r="E73" s="18">
        <f t="shared" si="51"/>
        <v>1</v>
      </c>
      <c r="F73" s="18">
        <f t="shared" si="51"/>
        <v>1</v>
      </c>
      <c r="G73" s="18">
        <f t="shared" si="51"/>
        <v>1</v>
      </c>
      <c r="H73" s="18">
        <f t="shared" si="51"/>
        <v>1</v>
      </c>
    </row>
    <row r="74" spans="1:8">
      <c r="A74" s="18" t="str">
        <f>A56</f>
        <v>Operating cost C</v>
      </c>
      <c r="B74" s="18">
        <v>5</v>
      </c>
      <c r="C74" s="18">
        <f t="shared" si="51"/>
        <v>5</v>
      </c>
      <c r="D74" s="18">
        <f t="shared" si="51"/>
        <v>5</v>
      </c>
      <c r="E74" s="18">
        <f t="shared" si="51"/>
        <v>5</v>
      </c>
      <c r="F74" s="18">
        <f t="shared" si="51"/>
        <v>5</v>
      </c>
      <c r="G74" s="18">
        <f t="shared" si="51"/>
        <v>5</v>
      </c>
      <c r="H74" s="18">
        <f t="shared" si="51"/>
        <v>5</v>
      </c>
    </row>
    <row r="75" spans="1:8">
      <c r="A75" s="18" t="str">
        <f>A57</f>
        <v>Investment K</v>
      </c>
      <c r="B75" s="111">
        <v>25</v>
      </c>
      <c r="C75" s="18">
        <f t="shared" si="51"/>
        <v>25</v>
      </c>
      <c r="D75" s="18">
        <f t="shared" si="51"/>
        <v>25</v>
      </c>
      <c r="E75" s="18">
        <f t="shared" si="51"/>
        <v>25</v>
      </c>
      <c r="F75" s="18">
        <f t="shared" si="51"/>
        <v>25</v>
      </c>
      <c r="G75" s="18">
        <f t="shared" si="51"/>
        <v>25</v>
      </c>
      <c r="H75" s="18">
        <f t="shared" si="51"/>
        <v>25</v>
      </c>
    </row>
    <row r="76" spans="1:8">
      <c r="A76" s="18" t="s">
        <v>223</v>
      </c>
      <c r="B76" s="112">
        <v>0.04</v>
      </c>
      <c r="C76" s="18">
        <f t="shared" si="51"/>
        <v>0.04</v>
      </c>
      <c r="D76" s="18">
        <f t="shared" si="51"/>
        <v>0.04</v>
      </c>
      <c r="E76" s="18">
        <f t="shared" si="51"/>
        <v>0.04</v>
      </c>
      <c r="F76" s="18">
        <f t="shared" si="51"/>
        <v>0.04</v>
      </c>
      <c r="G76" s="18">
        <f t="shared" si="51"/>
        <v>0.04</v>
      </c>
      <c r="H76" s="18">
        <f t="shared" si="51"/>
        <v>0.04</v>
      </c>
    </row>
    <row r="77" spans="1:8">
      <c r="A77" s="18" t="s">
        <v>224</v>
      </c>
      <c r="B77" s="112">
        <v>0.04</v>
      </c>
      <c r="C77" s="18">
        <f t="shared" si="51"/>
        <v>0.04</v>
      </c>
      <c r="D77" s="18">
        <f t="shared" si="51"/>
        <v>0.04</v>
      </c>
      <c r="E77" s="18">
        <f t="shared" si="51"/>
        <v>0.04</v>
      </c>
      <c r="F77" s="18">
        <f t="shared" si="51"/>
        <v>0.04</v>
      </c>
      <c r="G77" s="18">
        <f t="shared" si="51"/>
        <v>0.04</v>
      </c>
      <c r="H77" s="18">
        <f t="shared" si="51"/>
        <v>0.04</v>
      </c>
    </row>
    <row r="78" spans="1:8">
      <c r="A78" s="18" t="s">
        <v>225</v>
      </c>
      <c r="B78" s="112">
        <v>0</v>
      </c>
      <c r="C78" s="112">
        <f t="shared" si="51"/>
        <v>0</v>
      </c>
      <c r="D78" s="112">
        <f t="shared" si="51"/>
        <v>0</v>
      </c>
      <c r="E78" s="112">
        <f t="shared" si="51"/>
        <v>0</v>
      </c>
      <c r="F78" s="112">
        <f t="shared" si="51"/>
        <v>0</v>
      </c>
      <c r="G78" s="112">
        <f t="shared" si="51"/>
        <v>0</v>
      </c>
      <c r="H78" s="112">
        <f t="shared" si="51"/>
        <v>0</v>
      </c>
    </row>
    <row r="79" spans="1:8">
      <c r="A79" s="120" t="s">
        <v>144</v>
      </c>
      <c r="B79" s="120">
        <f>C79-0.02</f>
        <v>0.14000000000000004</v>
      </c>
      <c r="C79" s="120">
        <f>D79-0.02</f>
        <v>0.16000000000000003</v>
      </c>
      <c r="D79" s="120">
        <f>E79-0.02</f>
        <v>0.18000000000000002</v>
      </c>
      <c r="E79" s="120">
        <v>0.2</v>
      </c>
      <c r="F79" s="120">
        <f>E79+0.02</f>
        <v>0.22</v>
      </c>
      <c r="G79" s="120">
        <f>F79+0.02</f>
        <v>0.24</v>
      </c>
      <c r="H79" s="120">
        <f>G79+0.02</f>
        <v>0.26</v>
      </c>
    </row>
    <row r="80" spans="1:8" ht="14.25">
      <c r="A80" s="16" t="s">
        <v>196</v>
      </c>
      <c r="B80" s="14">
        <f t="shared" ref="B80:H80" si="52">0.5-(B76-B77)/(B79^2)+SQRT(((B76-B77)/(B79^2)-0.5)^2 + 2*B76/(B79^2))</f>
        <v>2.5812574691904948</v>
      </c>
      <c r="C80" s="14">
        <f t="shared" si="52"/>
        <v>2.3371173070873832</v>
      </c>
      <c r="D80" s="14">
        <f t="shared" si="52"/>
        <v>2.1489802310728701</v>
      </c>
      <c r="E80" s="14">
        <f t="shared" si="52"/>
        <v>1.9999999999999998</v>
      </c>
      <c r="F80" s="14">
        <f t="shared" si="52"/>
        <v>1.879453718681229</v>
      </c>
      <c r="G80" s="14">
        <f t="shared" si="52"/>
        <v>1.7801909579781015</v>
      </c>
      <c r="H80" s="14">
        <f t="shared" si="52"/>
        <v>1.697260185867183</v>
      </c>
    </row>
    <row r="81" spans="1:10" ht="14.25">
      <c r="A81" s="16" t="s">
        <v>227</v>
      </c>
      <c r="B81" s="14">
        <f t="shared" ref="B81:H81" si="53">0.5-(B76-B77)/(B79^2)-SQRT(((B76-B77)/(B79^2)-0.5)^2 + 2*B76/(B79^2))</f>
        <v>-1.5812574691904948</v>
      </c>
      <c r="C81" s="14">
        <f t="shared" si="53"/>
        <v>-1.3371173070873832</v>
      </c>
      <c r="D81" s="14">
        <f t="shared" si="53"/>
        <v>-1.1489802310728701</v>
      </c>
      <c r="E81" s="14">
        <f t="shared" si="53"/>
        <v>-0.99999999999999978</v>
      </c>
      <c r="F81" s="14">
        <f t="shared" si="53"/>
        <v>-0.87945371868122901</v>
      </c>
      <c r="G81" s="14">
        <f t="shared" si="53"/>
        <v>-0.78019095797810145</v>
      </c>
      <c r="H81" s="14">
        <f t="shared" si="53"/>
        <v>-0.69726018586718297</v>
      </c>
    </row>
    <row r="82" spans="1:10" ht="14.25">
      <c r="A82" s="113" t="s">
        <v>328</v>
      </c>
      <c r="B82" s="114">
        <f t="shared" ref="B82:H82" si="54">B73+B76*B74</f>
        <v>1.2</v>
      </c>
      <c r="C82" s="114">
        <f t="shared" si="54"/>
        <v>1.2</v>
      </c>
      <c r="D82" s="114">
        <f t="shared" si="54"/>
        <v>1.2</v>
      </c>
      <c r="E82" s="114">
        <f t="shared" si="54"/>
        <v>1.2</v>
      </c>
      <c r="F82" s="114">
        <f t="shared" si="54"/>
        <v>1.2</v>
      </c>
      <c r="G82" s="114">
        <f t="shared" si="54"/>
        <v>1.2</v>
      </c>
      <c r="H82" s="114">
        <f t="shared" si="54"/>
        <v>1.2</v>
      </c>
    </row>
    <row r="83" spans="1:10" ht="14.25">
      <c r="A83" s="113" t="s">
        <v>329</v>
      </c>
      <c r="B83" s="114">
        <f t="shared" ref="B83:H83" si="55">B73-B76*B75</f>
        <v>0</v>
      </c>
      <c r="C83" s="114">
        <f t="shared" si="55"/>
        <v>0</v>
      </c>
      <c r="D83" s="114">
        <f t="shared" si="55"/>
        <v>0</v>
      </c>
      <c r="E83" s="114">
        <f t="shared" si="55"/>
        <v>0</v>
      </c>
      <c r="F83" s="114">
        <f t="shared" si="55"/>
        <v>0</v>
      </c>
      <c r="G83" s="114">
        <f t="shared" si="55"/>
        <v>0</v>
      </c>
      <c r="H83" s="114">
        <f t="shared" si="55"/>
        <v>0</v>
      </c>
    </row>
    <row r="84" spans="1:10" ht="14.25">
      <c r="A84" s="113" t="s">
        <v>330</v>
      </c>
      <c r="B84" s="114">
        <f t="shared" ref="B84:H84" si="56">(B76-B78)/B76*B80/(B80-1)*B82</f>
        <v>1.9588896959420055</v>
      </c>
      <c r="C84" s="114">
        <f t="shared" si="56"/>
        <v>2.0974530459215557</v>
      </c>
      <c r="D84" s="114">
        <f t="shared" si="56"/>
        <v>2.2444043923014148</v>
      </c>
      <c r="E84" s="114">
        <f t="shared" si="56"/>
        <v>2.4</v>
      </c>
      <c r="F84" s="114">
        <f t="shared" si="56"/>
        <v>2.564483399762572</v>
      </c>
      <c r="G84" s="114">
        <f t="shared" si="56"/>
        <v>2.7380849876930795</v>
      </c>
      <c r="H84" s="114">
        <f t="shared" si="56"/>
        <v>2.9210218284693243</v>
      </c>
    </row>
    <row r="85" spans="1:10" ht="14.25">
      <c r="A85" s="113" t="s">
        <v>331</v>
      </c>
      <c r="B85" s="114">
        <f t="shared" ref="B85:H85" si="57">(B76-B78)/B76*(-B81/(-B81+1))*B83</f>
        <v>0</v>
      </c>
      <c r="C85" s="114">
        <f t="shared" si="57"/>
        <v>0</v>
      </c>
      <c r="D85" s="114">
        <f t="shared" si="57"/>
        <v>0</v>
      </c>
      <c r="E85" s="114">
        <f t="shared" si="57"/>
        <v>0</v>
      </c>
      <c r="F85" s="114">
        <f t="shared" si="57"/>
        <v>0</v>
      </c>
      <c r="G85" s="114">
        <f t="shared" si="57"/>
        <v>0</v>
      </c>
      <c r="H85" s="114">
        <f t="shared" si="57"/>
        <v>0</v>
      </c>
    </row>
    <row r="86" spans="1:10" ht="14.25">
      <c r="A86" s="116" t="s">
        <v>332</v>
      </c>
      <c r="B86" s="117">
        <f>B82-B83</f>
        <v>1.2</v>
      </c>
      <c r="C86" s="117">
        <f t="shared" ref="C86:H86" si="58">C82-C83</f>
        <v>1.2</v>
      </c>
      <c r="D86" s="117">
        <f t="shared" si="58"/>
        <v>1.2</v>
      </c>
      <c r="E86" s="117">
        <f t="shared" si="58"/>
        <v>1.2</v>
      </c>
      <c r="F86" s="117">
        <f t="shared" si="58"/>
        <v>1.2</v>
      </c>
      <c r="G86" s="117">
        <f t="shared" si="58"/>
        <v>1.2</v>
      </c>
      <c r="H86" s="117">
        <f t="shared" si="58"/>
        <v>1.2</v>
      </c>
    </row>
    <row r="87" spans="1:10" ht="14.25">
      <c r="A87" s="116" t="s">
        <v>333</v>
      </c>
      <c r="B87" s="117">
        <f>B84-B85</f>
        <v>1.9588896959420055</v>
      </c>
      <c r="C87" s="117">
        <f t="shared" ref="C87:H87" si="59">C84-C85</f>
        <v>2.0974530459215557</v>
      </c>
      <c r="D87" s="117">
        <f t="shared" si="59"/>
        <v>2.2444043923014148</v>
      </c>
      <c r="E87" s="117">
        <f t="shared" si="59"/>
        <v>2.4</v>
      </c>
      <c r="F87" s="117">
        <f t="shared" si="59"/>
        <v>2.564483399762572</v>
      </c>
      <c r="G87" s="117">
        <f t="shared" si="59"/>
        <v>2.7380849876930795</v>
      </c>
      <c r="H87" s="117">
        <f t="shared" si="59"/>
        <v>2.9210218284693243</v>
      </c>
    </row>
    <row r="88" spans="1:10" ht="14.25">
      <c r="A88" s="116" t="s">
        <v>334</v>
      </c>
      <c r="B88" s="117">
        <f>B87/B86</f>
        <v>1.6324080799516714</v>
      </c>
      <c r="C88" s="117">
        <f t="shared" ref="C88:H88" si="60">C87/C86</f>
        <v>1.7478775382679632</v>
      </c>
      <c r="D88" s="117">
        <f t="shared" si="60"/>
        <v>1.8703369935845124</v>
      </c>
      <c r="E88" s="117">
        <f t="shared" si="60"/>
        <v>2</v>
      </c>
      <c r="F88" s="117">
        <f t="shared" si="60"/>
        <v>2.1370694998021436</v>
      </c>
      <c r="G88" s="117">
        <f t="shared" si="60"/>
        <v>2.2817374897442328</v>
      </c>
      <c r="H88" s="117">
        <f t="shared" si="60"/>
        <v>2.4341848570577702</v>
      </c>
    </row>
    <row r="91" spans="1:10" ht="18">
      <c r="A91" s="66" t="s">
        <v>352</v>
      </c>
      <c r="B91" s="88"/>
      <c r="C91" s="88"/>
    </row>
    <row r="92" spans="1:10">
      <c r="A92" t="s">
        <v>553</v>
      </c>
      <c r="B92" t="s">
        <v>553</v>
      </c>
    </row>
    <row r="93" spans="1:10">
      <c r="A93" t="s">
        <v>335</v>
      </c>
      <c r="B93">
        <v>2</v>
      </c>
      <c r="C93">
        <v>2</v>
      </c>
      <c r="D93">
        <v>2</v>
      </c>
      <c r="E93">
        <v>2</v>
      </c>
      <c r="F93">
        <v>2</v>
      </c>
      <c r="G93">
        <v>2</v>
      </c>
      <c r="H93">
        <v>2</v>
      </c>
      <c r="I93" t="s">
        <v>553</v>
      </c>
      <c r="J93" t="s">
        <v>553</v>
      </c>
    </row>
    <row r="94" spans="1:10">
      <c r="A94" t="s">
        <v>348</v>
      </c>
      <c r="B94">
        <v>5</v>
      </c>
      <c r="C94">
        <v>5</v>
      </c>
      <c r="D94">
        <v>5</v>
      </c>
      <c r="E94">
        <v>5</v>
      </c>
      <c r="F94">
        <v>5</v>
      </c>
      <c r="G94">
        <v>5</v>
      </c>
      <c r="H94">
        <v>5</v>
      </c>
      <c r="I94" t="s">
        <v>553</v>
      </c>
      <c r="J94" t="s">
        <v>553</v>
      </c>
    </row>
    <row r="95" spans="1:10">
      <c r="A95" t="s">
        <v>336</v>
      </c>
      <c r="B95">
        <v>1</v>
      </c>
      <c r="C95">
        <v>1</v>
      </c>
      <c r="D95">
        <v>1</v>
      </c>
      <c r="E95">
        <v>1</v>
      </c>
      <c r="F95">
        <v>1</v>
      </c>
      <c r="G95">
        <v>1</v>
      </c>
      <c r="H95">
        <v>1</v>
      </c>
      <c r="I95" t="s">
        <v>553</v>
      </c>
      <c r="J95" t="s">
        <v>553</v>
      </c>
    </row>
    <row r="96" spans="1:10">
      <c r="A96" t="s">
        <v>349</v>
      </c>
      <c r="B96">
        <v>25</v>
      </c>
      <c r="C96">
        <v>25</v>
      </c>
      <c r="D96">
        <v>25</v>
      </c>
      <c r="E96">
        <v>25</v>
      </c>
      <c r="F96">
        <v>25</v>
      </c>
      <c r="G96">
        <v>25</v>
      </c>
      <c r="H96">
        <v>25</v>
      </c>
      <c r="I96" t="s">
        <v>553</v>
      </c>
      <c r="J96" t="s">
        <v>553</v>
      </c>
    </row>
    <row r="97" spans="1:10">
      <c r="A97" t="s">
        <v>337</v>
      </c>
      <c r="B97">
        <v>0.01</v>
      </c>
      <c r="C97">
        <f>B97+0.01</f>
        <v>0.02</v>
      </c>
      <c r="D97">
        <f t="shared" ref="D97:E97" si="61">C97+0.01</f>
        <v>0.03</v>
      </c>
      <c r="E97">
        <f t="shared" si="61"/>
        <v>0.04</v>
      </c>
      <c r="F97">
        <f t="shared" ref="F97:H97" si="62">E97+0.01</f>
        <v>0.05</v>
      </c>
      <c r="G97">
        <f t="shared" si="62"/>
        <v>6.0000000000000005E-2</v>
      </c>
      <c r="H97">
        <f t="shared" si="62"/>
        <v>7.0000000000000007E-2</v>
      </c>
      <c r="I97" t="s">
        <v>553</v>
      </c>
      <c r="J97" t="s">
        <v>553</v>
      </c>
    </row>
    <row r="98" spans="1:10">
      <c r="A98" s="2" t="s">
        <v>338</v>
      </c>
      <c r="B98">
        <v>0.08</v>
      </c>
      <c r="C98">
        <f>B98-0.01</f>
        <v>7.0000000000000007E-2</v>
      </c>
      <c r="D98">
        <f t="shared" ref="D98:E98" si="63">C98-0.01</f>
        <v>6.0000000000000005E-2</v>
      </c>
      <c r="E98">
        <f t="shared" si="63"/>
        <v>0.05</v>
      </c>
      <c r="F98">
        <f t="shared" ref="F98:H98" si="64">E98-0.01</f>
        <v>0.04</v>
      </c>
      <c r="G98">
        <f t="shared" si="64"/>
        <v>0.03</v>
      </c>
      <c r="H98">
        <f t="shared" si="64"/>
        <v>1.9999999999999997E-2</v>
      </c>
      <c r="I98" t="s">
        <v>553</v>
      </c>
      <c r="J98" t="s">
        <v>553</v>
      </c>
    </row>
    <row r="99" spans="1:10">
      <c r="A99" s="2" t="s">
        <v>339</v>
      </c>
      <c r="B99">
        <v>0.2</v>
      </c>
      <c r="C99">
        <v>0.2</v>
      </c>
      <c r="D99">
        <v>0.2</v>
      </c>
      <c r="E99">
        <v>0.2</v>
      </c>
      <c r="F99">
        <v>0.2</v>
      </c>
      <c r="G99">
        <v>0.2</v>
      </c>
      <c r="H99">
        <v>0.2</v>
      </c>
      <c r="I99" t="s">
        <v>553</v>
      </c>
      <c r="J99" t="s">
        <v>553</v>
      </c>
    </row>
    <row r="100" spans="1:10">
      <c r="F100" s="171" t="s">
        <v>553</v>
      </c>
      <c r="I100" t="s">
        <v>553</v>
      </c>
      <c r="J100" t="s">
        <v>553</v>
      </c>
    </row>
    <row r="101" spans="1:10">
      <c r="A101" s="2" t="s">
        <v>44</v>
      </c>
      <c r="B101" s="3">
        <f>0.5-((B97-B98)/(B99^2))+SQRT(((((B97-B98)/(B99^2))-0.5)^2)+(2*(B97/(B99^2))))</f>
        <v>4.6084952830141503</v>
      </c>
      <c r="C101" s="3">
        <f t="shared" ref="C101:F101" si="65">0.5-((C97-C98)/(C99^2))+SQRT(((((C97-C98)/(C99^2))-0.5)^2)+(2*(C97/(C99^2))))</f>
        <v>3.7655644370746373</v>
      </c>
      <c r="D101" s="3">
        <f t="shared" si="65"/>
        <v>3</v>
      </c>
      <c r="E101" s="3">
        <f t="shared" si="65"/>
        <v>2.3507810593582121</v>
      </c>
      <c r="F101" s="3">
        <f t="shared" si="65"/>
        <v>1.8507810593582121</v>
      </c>
      <c r="G101" s="3">
        <f t="shared" ref="G101" si="66">0.5-((G97-G98)/(G99^2))+SQRT(((((G97-G98)/(G99^2))-0.5)^2)+(2*(G97/(G99^2))))</f>
        <v>1.4999999999999998</v>
      </c>
      <c r="H101" s="3">
        <f>0.5-((H97-H98)/(H99^2))+SQRT(((((H97-H98)/(H99^2))-0.5)^2)+(2*(H97/(H99^2))))</f>
        <v>1.2655644370746373</v>
      </c>
      <c r="I101" s="3" t="s">
        <v>553</v>
      </c>
      <c r="J101" s="3" t="s">
        <v>553</v>
      </c>
    </row>
    <row r="102" spans="1:10">
      <c r="A102" s="2" t="s">
        <v>57</v>
      </c>
      <c r="B102" s="3">
        <f>0.5-((B97-B98)/(B99^2))-SQRT(((((B97-B98)/(B99^2))-0.5)^2)+(2*(B97/(B99^2))))</f>
        <v>-0.10849528301415079</v>
      </c>
      <c r="C102" s="3">
        <f t="shared" ref="C102:F102" si="67">0.5-((C97-C98)/(C99^2))-SQRT(((((C97-C98)/(C99^2))-0.5)^2)+(2*(C97/(C99^2))))</f>
        <v>-0.2655644370746375</v>
      </c>
      <c r="D102" s="3">
        <f t="shared" si="67"/>
        <v>-0.49999999999999978</v>
      </c>
      <c r="E102" s="3">
        <f t="shared" si="67"/>
        <v>-0.85078105935821213</v>
      </c>
      <c r="F102" s="3">
        <f t="shared" si="67"/>
        <v>-1.3507810593582121</v>
      </c>
      <c r="G102" s="3">
        <f t="shared" ref="G102" si="68">0.5-((G97-G98)/(G99^2))-SQRT(((((G97-G98)/(G99^2))-0.5)^2)+(2*(G97/(G99^2))))</f>
        <v>-1.9999999999999998</v>
      </c>
      <c r="H102" s="3">
        <f>0.5-((H97-H98)/(H99^2))-SQRT(((((H97-H98)/(H99^2))-0.5)^2)+(2*(H97/(H99^2))))</f>
        <v>-2.7655644370746373</v>
      </c>
      <c r="I102" s="3" t="s">
        <v>553</v>
      </c>
      <c r="J102" s="3" t="s">
        <v>553</v>
      </c>
    </row>
    <row r="103" spans="1:10">
      <c r="A103" s="2"/>
      <c r="B103" s="3"/>
      <c r="C103" s="3"/>
      <c r="D103" s="3"/>
      <c r="E103" s="3"/>
      <c r="F103" s="3"/>
      <c r="G103" s="3"/>
      <c r="H103" s="3"/>
      <c r="I103" s="3"/>
      <c r="J103" s="3"/>
    </row>
    <row r="104" spans="1:10">
      <c r="A104" s="2" t="s">
        <v>734</v>
      </c>
      <c r="B104" s="3">
        <f t="shared" ref="B104:H104" si="69">B97/B98</f>
        <v>0.125</v>
      </c>
      <c r="C104" s="3">
        <f t="shared" si="69"/>
        <v>0.2857142857142857</v>
      </c>
      <c r="D104" s="3">
        <f t="shared" si="69"/>
        <v>0.49999999999999994</v>
      </c>
      <c r="E104" s="3">
        <f t="shared" si="69"/>
        <v>0.79999999999999993</v>
      </c>
      <c r="F104" s="3">
        <f t="shared" si="69"/>
        <v>1.25</v>
      </c>
      <c r="G104" s="3">
        <f t="shared" si="69"/>
        <v>2.0000000000000004</v>
      </c>
      <c r="H104" s="3">
        <f t="shared" si="69"/>
        <v>3.5000000000000009</v>
      </c>
      <c r="I104" t="s">
        <v>553</v>
      </c>
      <c r="J104" t="s">
        <v>553</v>
      </c>
    </row>
    <row r="105" spans="1:10">
      <c r="A105" s="2" t="s">
        <v>732</v>
      </c>
      <c r="B105" s="3">
        <f>MAX(B97/B98,B101)</f>
        <v>4.6084952830141503</v>
      </c>
      <c r="C105" s="3">
        <f t="shared" ref="C105:F105" si="70">MAX(C97/C98,C101)</f>
        <v>3.7655644370746373</v>
      </c>
      <c r="D105" s="3">
        <f t="shared" si="70"/>
        <v>3</v>
      </c>
      <c r="E105" s="3">
        <f t="shared" si="70"/>
        <v>2.3507810593582121</v>
      </c>
      <c r="F105" s="3">
        <f t="shared" si="70"/>
        <v>1.8507810593582121</v>
      </c>
      <c r="G105" s="3">
        <f t="shared" ref="G105" si="71">MAX(G97/G98,G101)</f>
        <v>2.0000000000000004</v>
      </c>
      <c r="H105" s="3">
        <f>MAX(H97/H98,H101)</f>
        <v>3.5000000000000009</v>
      </c>
      <c r="I105" s="3" t="s">
        <v>553</v>
      </c>
      <c r="J105" s="3" t="s">
        <v>553</v>
      </c>
    </row>
    <row r="106" spans="1:10">
      <c r="A106" s="2" t="s">
        <v>736</v>
      </c>
      <c r="B106" s="3">
        <f>(B98/B97)*(B101/(B101-1))</f>
        <v>10.216990566028302</v>
      </c>
      <c r="C106" s="3">
        <f t="shared" ref="C106:H106" si="72">(C98/C97)*(C101/(C101-1))</f>
        <v>4.7655644370746382</v>
      </c>
      <c r="D106" s="3">
        <f t="shared" si="72"/>
        <v>3.0000000000000009</v>
      </c>
      <c r="E106" s="3">
        <f t="shared" si="72"/>
        <v>2.1753905296791061</v>
      </c>
      <c r="F106" s="3">
        <f t="shared" si="72"/>
        <v>1.7403124237432848</v>
      </c>
      <c r="G106" s="3">
        <f t="shared" si="72"/>
        <v>1.5000000000000002</v>
      </c>
      <c r="H106" s="3">
        <f t="shared" si="72"/>
        <v>1.3615898391641823</v>
      </c>
      <c r="I106" t="s">
        <v>553</v>
      </c>
      <c r="J106" t="s">
        <v>553</v>
      </c>
    </row>
    <row r="107" spans="1:10">
      <c r="A107" s="2"/>
      <c r="B107" s="3"/>
      <c r="C107" s="3"/>
      <c r="D107" s="3"/>
      <c r="E107" s="3"/>
      <c r="F107" s="3"/>
      <c r="G107" s="3"/>
      <c r="H107" s="3"/>
    </row>
    <row r="108" spans="1:10">
      <c r="A108" s="244" t="s">
        <v>733</v>
      </c>
      <c r="B108" s="3">
        <f t="shared" ref="B108:H108" si="73">B95-B97*B96</f>
        <v>0.75</v>
      </c>
      <c r="C108" s="3">
        <f t="shared" si="73"/>
        <v>0.5</v>
      </c>
      <c r="D108" s="3">
        <f t="shared" si="73"/>
        <v>0.25</v>
      </c>
      <c r="E108" s="3">
        <f t="shared" si="73"/>
        <v>0</v>
      </c>
      <c r="F108" s="3">
        <f t="shared" si="73"/>
        <v>-0.25</v>
      </c>
      <c r="G108" s="3">
        <f t="shared" si="73"/>
        <v>-0.50000000000000022</v>
      </c>
      <c r="H108" s="3">
        <f t="shared" si="73"/>
        <v>-0.75000000000000022</v>
      </c>
      <c r="I108" s="3" t="s">
        <v>553</v>
      </c>
      <c r="J108" s="3" t="s">
        <v>553</v>
      </c>
    </row>
    <row r="109" spans="1:10">
      <c r="A109" s="2" t="s">
        <v>735</v>
      </c>
      <c r="B109" s="3">
        <f t="shared" ref="B109:H109" si="74">B97*B96</f>
        <v>0.25</v>
      </c>
      <c r="C109" s="3">
        <f t="shared" si="74"/>
        <v>0.5</v>
      </c>
      <c r="D109" s="3">
        <f t="shared" si="74"/>
        <v>0.75</v>
      </c>
      <c r="E109" s="3">
        <f t="shared" si="74"/>
        <v>1</v>
      </c>
      <c r="F109" s="3">
        <f t="shared" si="74"/>
        <v>1.25</v>
      </c>
      <c r="G109" s="3">
        <f t="shared" si="74"/>
        <v>1.5000000000000002</v>
      </c>
      <c r="H109" s="3">
        <f t="shared" si="74"/>
        <v>1.7500000000000002</v>
      </c>
      <c r="I109" t="s">
        <v>553</v>
      </c>
      <c r="J109" t="s">
        <v>553</v>
      </c>
    </row>
  </sheetData>
  <phoneticPr fontId="8" type="noConversion"/>
  <printOptions horizontalCentered="1"/>
  <pageMargins left="0.75" right="0.75" top="0.47" bottom="0.5" header="0.5" footer="0.5"/>
  <pageSetup scale="90" orientation="portrait" horizontalDpi="4294967293" verticalDpi="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E27"/>
  <sheetViews>
    <sheetView workbookViewId="0"/>
  </sheetViews>
  <sheetFormatPr defaultRowHeight="12.75"/>
  <cols>
    <col min="1" max="1" width="13.42578125" bestFit="1" customWidth="1"/>
    <col min="2" max="2" width="12.5703125" bestFit="1" customWidth="1"/>
    <col min="3" max="3" width="52.28515625" bestFit="1" customWidth="1"/>
    <col min="4" max="4" width="16.140625" bestFit="1" customWidth="1"/>
  </cols>
  <sheetData>
    <row r="1" spans="1:5" ht="18">
      <c r="A1" s="66" t="s">
        <v>352</v>
      </c>
      <c r="B1" s="88"/>
      <c r="C1" s="88"/>
      <c r="D1" s="66" t="s">
        <v>737</v>
      </c>
    </row>
    <row r="2" spans="1:5">
      <c r="A2" t="s">
        <v>553</v>
      </c>
      <c r="B2" t="s">
        <v>583</v>
      </c>
      <c r="D2" s="18" t="s">
        <v>583</v>
      </c>
      <c r="E2" s="18"/>
    </row>
    <row r="3" spans="1:5">
      <c r="A3" t="s">
        <v>335</v>
      </c>
      <c r="B3">
        <f>E3</f>
        <v>2</v>
      </c>
      <c r="D3" s="18" t="s">
        <v>59</v>
      </c>
      <c r="E3" s="18">
        <v>2</v>
      </c>
    </row>
    <row r="4" spans="1:5">
      <c r="A4" t="s">
        <v>348</v>
      </c>
      <c r="B4">
        <f t="shared" ref="B4:B9" si="0">E4</f>
        <v>4</v>
      </c>
      <c r="D4" s="18" t="s">
        <v>221</v>
      </c>
      <c r="E4" s="18">
        <v>4</v>
      </c>
    </row>
    <row r="5" spans="1:5">
      <c r="A5" t="s">
        <v>336</v>
      </c>
      <c r="B5">
        <f t="shared" si="0"/>
        <v>1</v>
      </c>
      <c r="D5" s="18" t="s">
        <v>206</v>
      </c>
      <c r="E5" s="18">
        <v>1</v>
      </c>
    </row>
    <row r="6" spans="1:5">
      <c r="A6" t="s">
        <v>349</v>
      </c>
      <c r="B6">
        <f t="shared" si="0"/>
        <v>0</v>
      </c>
      <c r="D6" s="18" t="s">
        <v>222</v>
      </c>
      <c r="E6" s="18">
        <v>0</v>
      </c>
    </row>
    <row r="7" spans="1:5">
      <c r="A7" t="s">
        <v>337</v>
      </c>
      <c r="B7">
        <f t="shared" si="0"/>
        <v>2.5000000000000001E-2</v>
      </c>
      <c r="D7" s="18" t="s">
        <v>223</v>
      </c>
      <c r="E7" s="18">
        <v>2.5000000000000001E-2</v>
      </c>
    </row>
    <row r="8" spans="1:5">
      <c r="A8" s="2" t="s">
        <v>338</v>
      </c>
      <c r="B8">
        <f t="shared" si="0"/>
        <v>2.5000000000000001E-2</v>
      </c>
      <c r="D8" s="18" t="s">
        <v>224</v>
      </c>
      <c r="E8" s="18">
        <v>2.5000000000000001E-2</v>
      </c>
    </row>
    <row r="9" spans="1:5">
      <c r="A9" s="2" t="s">
        <v>339</v>
      </c>
      <c r="B9">
        <f t="shared" si="0"/>
        <v>0.1</v>
      </c>
      <c r="D9" s="18" t="s">
        <v>144</v>
      </c>
      <c r="E9" s="18">
        <v>0.1</v>
      </c>
    </row>
    <row r="11" spans="1:5" ht="14.25">
      <c r="A11" s="2" t="s">
        <v>44</v>
      </c>
      <c r="B11" s="3">
        <f>0.5-((B7-B8)/(B9^2))+SQRT(((((B7-B8)/(B9^2))-0.5)^2)+(2*(B7/(B9^2))))</f>
        <v>2.7912878474779199</v>
      </c>
      <c r="C11" s="10" t="s">
        <v>340</v>
      </c>
      <c r="D11" s="16" t="s">
        <v>196</v>
      </c>
      <c r="E11" s="14">
        <f>0.5-(E7-E8)/(E9^2)+SQRT(((E7-E8)/(E9^2)-0.5)^2 + 2*E7/(E9^2))</f>
        <v>2.7912878474779199</v>
      </c>
    </row>
    <row r="12" spans="1:5" ht="14.25">
      <c r="A12" s="2" t="s">
        <v>57</v>
      </c>
      <c r="B12" s="3">
        <f>0.5-((B7-B8)/(B9^2))-SQRT(((((B7-B8)/(B9^2))-0.5)^2)+(2*(B7/(B9^2))))</f>
        <v>-1.7912878474779199</v>
      </c>
      <c r="C12" s="10" t="s">
        <v>341</v>
      </c>
      <c r="D12" s="16" t="s">
        <v>227</v>
      </c>
      <c r="E12" s="14">
        <f>0.5-(E7-E8)/(E9^2)-SQRT(((E7-E8)/(E9^2)-0.5)^2 + 2*E7/(E9^2))</f>
        <v>-1.7912878474779199</v>
      </c>
    </row>
    <row r="13" spans="1:5">
      <c r="B13" t="s">
        <v>605</v>
      </c>
      <c r="C13" s="9"/>
    </row>
    <row r="14" spans="1:5">
      <c r="A14" t="s">
        <v>47</v>
      </c>
      <c r="B14" s="3">
        <f>B17*(B3^B11)</f>
        <v>44.053081168979112</v>
      </c>
      <c r="C14" s="10" t="s">
        <v>342</v>
      </c>
      <c r="D14" s="18" t="s">
        <v>605</v>
      </c>
      <c r="E14" s="112"/>
    </row>
    <row r="15" spans="1:5" ht="14.25">
      <c r="A15" t="s">
        <v>508</v>
      </c>
      <c r="B15" s="3">
        <f>B18*(B3^B12)+(B3/B8)-(B5/B8)</f>
        <v>42.219451976349049</v>
      </c>
      <c r="C15" s="10">
        <f>B18*(B3^B12)</f>
        <v>2.2194519763490486</v>
      </c>
      <c r="D15" s="113" t="s">
        <v>328</v>
      </c>
      <c r="E15" s="114">
        <f>E5+E7*E4</f>
        <v>1.1000000000000001</v>
      </c>
    </row>
    <row r="16" spans="1:5" ht="14.25">
      <c r="B16" s="3"/>
      <c r="C16" s="10">
        <f>+(B3/B8)-(B5/B8)</f>
        <v>40</v>
      </c>
      <c r="D16" s="113" t="s">
        <v>329</v>
      </c>
      <c r="E16" s="114">
        <f>IF((E5-E7*E6)&gt;0,E5-E7*E6,0)</f>
        <v>1</v>
      </c>
    </row>
    <row r="17" spans="1:5" ht="14.25">
      <c r="A17" t="s">
        <v>561</v>
      </c>
      <c r="B17" s="3">
        <v>6.3637765316326851</v>
      </c>
      <c r="C17" s="10" t="s">
        <v>553</v>
      </c>
      <c r="D17" s="116" t="s">
        <v>332</v>
      </c>
      <c r="E17" s="117">
        <f>E15-E16</f>
        <v>0.10000000000000009</v>
      </c>
    </row>
    <row r="18" spans="1:5">
      <c r="A18" t="s">
        <v>558</v>
      </c>
      <c r="B18" s="3">
        <v>7.6820499257593342</v>
      </c>
      <c r="C18" s="10" t="s">
        <v>553</v>
      </c>
    </row>
    <row r="19" spans="1:5" ht="14.25">
      <c r="A19" s="113" t="s">
        <v>330</v>
      </c>
      <c r="B19" s="3">
        <v>1.4666789056111309</v>
      </c>
      <c r="C19" s="10" t="s">
        <v>553</v>
      </c>
      <c r="D19" s="113" t="s">
        <v>330</v>
      </c>
      <c r="E19" s="115">
        <f>((E11/(E11-1))*(E8/E7)*E15)</f>
        <v>1.7140833264451425</v>
      </c>
    </row>
    <row r="20" spans="1:5" ht="14.25">
      <c r="A20" s="113" t="s">
        <v>331</v>
      </c>
      <c r="B20" s="3">
        <v>0.76573188086821942</v>
      </c>
      <c r="C20" s="10" t="s">
        <v>553</v>
      </c>
      <c r="D20" s="113" t="s">
        <v>331</v>
      </c>
      <c r="E20" s="114">
        <f>MAX((-E12/(-E12+1))*(E8/E7)*E16,0)</f>
        <v>0.64174243050441604</v>
      </c>
    </row>
    <row r="21" spans="1:5" ht="14.25">
      <c r="A21" s="116" t="s">
        <v>333</v>
      </c>
      <c r="B21" s="3">
        <f>B19-B20</f>
        <v>0.70094702474291148</v>
      </c>
      <c r="C21" s="10"/>
      <c r="D21" s="116" t="s">
        <v>333</v>
      </c>
      <c r="E21" s="117">
        <f>E19-E20</f>
        <v>1.0723408959407266</v>
      </c>
    </row>
    <row r="22" spans="1:5">
      <c r="A22" t="s">
        <v>350</v>
      </c>
      <c r="B22" s="3">
        <f>(-B17*(B19^B11))+(B18*(B19^B12))+(B19/B8)-(B5/B8)-B4</f>
        <v>-7.7434947343135718E-10</v>
      </c>
      <c r="C22" s="10" t="s">
        <v>343</v>
      </c>
    </row>
    <row r="23" spans="1:5" ht="14.25">
      <c r="A23" t="s">
        <v>351</v>
      </c>
      <c r="B23" s="3">
        <f>(-B11*B17*(B19^(B11-1)))+(B12*B18*(B19^(B12-1)))+(1/B8)</f>
        <v>1.1017320389328233E-9</v>
      </c>
      <c r="C23" s="10" t="s">
        <v>344</v>
      </c>
      <c r="D23" s="116" t="s">
        <v>334</v>
      </c>
      <c r="E23" s="117">
        <f>E21/E17</f>
        <v>10.723408959407257</v>
      </c>
    </row>
    <row r="24" spans="1:5">
      <c r="A24" t="s">
        <v>535</v>
      </c>
      <c r="B24" s="3">
        <f>(-B17*(B20^B11))+(B18*(B20^B12))+(B20/B8)-(B5/B8)+B6</f>
        <v>1.7429826471015986E-9</v>
      </c>
      <c r="C24" s="10" t="s">
        <v>345</v>
      </c>
    </row>
    <row r="25" spans="1:5">
      <c r="A25" s="35" t="s">
        <v>536</v>
      </c>
      <c r="B25" s="3">
        <f>(-B11*B17*(B20^(B11-1)))+(B12*B18*(B20^(B12-1)))+(1/B8)</f>
        <v>1.8844872329282225E-9</v>
      </c>
      <c r="C25" s="10" t="s">
        <v>346</v>
      </c>
    </row>
    <row r="26" spans="1:5">
      <c r="A26" t="s">
        <v>50</v>
      </c>
      <c r="B26" s="3" t="s">
        <v>347</v>
      </c>
      <c r="D26" s="171" t="s">
        <v>731</v>
      </c>
      <c r="E26">
        <f>E5-E7*E6</f>
        <v>1</v>
      </c>
    </row>
    <row r="27" spans="1:5">
      <c r="B27" s="245">
        <f t="array" ref="B27">SUM(ABS(B22:B25))</f>
        <v>5.5035513923940016E-9</v>
      </c>
    </row>
  </sheetData>
  <phoneticPr fontId="8" type="noConversion"/>
  <printOptions horizontalCentered="1" headings="1"/>
  <pageMargins left="0.75" right="0.23" top="1" bottom="1" header="0.5" footer="0.5"/>
  <pageSetup paperSize="9" scale="75" orientation="portrait" horizontalDpi="4294967293" verticalDpi="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dimension ref="A1:J34"/>
  <sheetViews>
    <sheetView topLeftCell="A23" workbookViewId="0">
      <selection activeCell="A23" sqref="A23"/>
    </sheetView>
  </sheetViews>
  <sheetFormatPr defaultRowHeight="12.75"/>
  <cols>
    <col min="1" max="1" width="14" bestFit="1" customWidth="1"/>
    <col min="2" max="2" width="10.140625" bestFit="1" customWidth="1"/>
    <col min="3" max="10" width="10.140625" customWidth="1"/>
  </cols>
  <sheetData>
    <row r="1" spans="1:10" ht="15.75">
      <c r="B1" s="33" t="s">
        <v>543</v>
      </c>
      <c r="C1" s="33"/>
      <c r="D1" s="33"/>
      <c r="E1" s="33"/>
      <c r="F1" s="33"/>
      <c r="G1" s="33"/>
      <c r="H1" s="33"/>
      <c r="I1" s="33"/>
      <c r="J1" s="33"/>
    </row>
    <row r="3" spans="1:10">
      <c r="A3" t="s">
        <v>59</v>
      </c>
      <c r="B3" s="123">
        <v>1</v>
      </c>
      <c r="C3" s="123">
        <v>2.5</v>
      </c>
      <c r="D3" s="123">
        <f>C3+2.5</f>
        <v>5</v>
      </c>
      <c r="E3" s="123">
        <f t="shared" ref="E3:J3" si="0">D3+2.5</f>
        <v>7.5</v>
      </c>
      <c r="F3" s="123">
        <f t="shared" si="0"/>
        <v>10</v>
      </c>
      <c r="G3" s="123">
        <f t="shared" si="0"/>
        <v>12.5</v>
      </c>
      <c r="H3" s="123">
        <f t="shared" si="0"/>
        <v>15</v>
      </c>
      <c r="I3" s="123">
        <f t="shared" si="0"/>
        <v>17.5</v>
      </c>
      <c r="J3" s="123">
        <f t="shared" si="0"/>
        <v>20</v>
      </c>
    </row>
    <row r="4" spans="1:10">
      <c r="A4" t="s">
        <v>35</v>
      </c>
      <c r="B4" s="4">
        <v>100</v>
      </c>
      <c r="C4" s="4">
        <v>100</v>
      </c>
      <c r="D4" s="4">
        <v>100</v>
      </c>
      <c r="E4" s="4">
        <v>100</v>
      </c>
      <c r="F4" s="4">
        <v>100</v>
      </c>
      <c r="G4" s="4">
        <v>100</v>
      </c>
      <c r="H4" s="4">
        <v>100</v>
      </c>
      <c r="I4" s="4">
        <v>100</v>
      </c>
      <c r="J4" s="4">
        <v>100</v>
      </c>
    </row>
    <row r="5" spans="1:10">
      <c r="A5" t="s">
        <v>238</v>
      </c>
      <c r="B5">
        <v>3</v>
      </c>
      <c r="C5">
        <v>3</v>
      </c>
      <c r="D5">
        <v>3</v>
      </c>
      <c r="E5">
        <v>3</v>
      </c>
      <c r="F5">
        <v>3</v>
      </c>
      <c r="G5">
        <v>3</v>
      </c>
      <c r="H5">
        <v>3</v>
      </c>
      <c r="I5">
        <v>3</v>
      </c>
      <c r="J5">
        <v>3</v>
      </c>
    </row>
    <row r="6" spans="1:10">
      <c r="A6" s="125" t="s">
        <v>5</v>
      </c>
      <c r="B6" s="35">
        <v>0.3</v>
      </c>
      <c r="C6" s="35">
        <v>0.3</v>
      </c>
      <c r="D6" s="35">
        <v>0.3</v>
      </c>
      <c r="E6" s="35">
        <v>0.3</v>
      </c>
      <c r="F6" s="35">
        <v>0.3</v>
      </c>
      <c r="G6" s="35">
        <v>0.3</v>
      </c>
      <c r="H6" s="35">
        <v>0.3</v>
      </c>
      <c r="I6" s="35">
        <v>0.3</v>
      </c>
      <c r="J6" s="35">
        <v>0.3</v>
      </c>
    </row>
    <row r="7" spans="1:10" ht="13.5">
      <c r="A7" s="126" t="s">
        <v>2</v>
      </c>
      <c r="B7">
        <v>0.06</v>
      </c>
      <c r="C7">
        <v>0.06</v>
      </c>
      <c r="D7">
        <v>0.06</v>
      </c>
      <c r="E7">
        <v>0.06</v>
      </c>
      <c r="F7">
        <v>0.06</v>
      </c>
      <c r="G7">
        <v>0.06</v>
      </c>
      <c r="H7">
        <v>0.06</v>
      </c>
      <c r="I7">
        <v>0.06</v>
      </c>
      <c r="J7">
        <v>0.06</v>
      </c>
    </row>
    <row r="8" spans="1:10">
      <c r="A8" s="2" t="s">
        <v>710</v>
      </c>
      <c r="B8">
        <v>0.03</v>
      </c>
      <c r="C8">
        <v>0.03</v>
      </c>
      <c r="D8">
        <v>0.03</v>
      </c>
      <c r="E8">
        <v>0.03</v>
      </c>
      <c r="F8">
        <v>0.03</v>
      </c>
      <c r="G8">
        <v>0.03</v>
      </c>
      <c r="H8">
        <v>0.03</v>
      </c>
      <c r="I8">
        <v>0.03</v>
      </c>
      <c r="J8">
        <v>0.03</v>
      </c>
    </row>
    <row r="10" spans="1:10" ht="15.75">
      <c r="A10" t="s">
        <v>544</v>
      </c>
      <c r="B10" s="5">
        <v>9.539285350502567</v>
      </c>
      <c r="C10" s="5">
        <v>9.539285350502567</v>
      </c>
      <c r="D10" s="5">
        <v>9.539285350502567</v>
      </c>
      <c r="E10" s="5">
        <v>9.539285350502567</v>
      </c>
      <c r="F10" s="5">
        <v>9.539285350502567</v>
      </c>
      <c r="G10" s="5">
        <v>9.539285350502567</v>
      </c>
      <c r="H10" s="5">
        <v>9.539285350502567</v>
      </c>
      <c r="I10" s="5">
        <v>9.539285350502567</v>
      </c>
      <c r="J10" s="5">
        <v>9.539285350502567</v>
      </c>
    </row>
    <row r="11" spans="1:10" ht="15.75">
      <c r="A11" t="s">
        <v>545</v>
      </c>
      <c r="B11" s="5">
        <v>17.999999821508727</v>
      </c>
      <c r="C11" s="5">
        <v>17.999999821508727</v>
      </c>
      <c r="D11" s="5">
        <v>17.999999821508727</v>
      </c>
      <c r="E11" s="5">
        <v>17.999999821508727</v>
      </c>
      <c r="F11" s="5">
        <v>17.999999821508727</v>
      </c>
      <c r="G11" s="5">
        <v>17.999999821508727</v>
      </c>
      <c r="H11" s="5">
        <v>17.999999821508727</v>
      </c>
      <c r="I11" s="5">
        <v>17.999999821508727</v>
      </c>
      <c r="J11" s="5">
        <v>17.999999821508727</v>
      </c>
    </row>
    <row r="12" spans="1:10" ht="14.25">
      <c r="A12" s="2" t="s">
        <v>196</v>
      </c>
      <c r="B12" s="1">
        <f>0.5-(B7-B8)/(B6^2)+SQRT(((B7-B8)/(B6^2)-0.5)^2 + (2*B7)/(B6^2))</f>
        <v>1.3333333333333333</v>
      </c>
      <c r="C12" s="1">
        <f t="shared" ref="C12:J12" si="1">0.5-(C7-C8)/(C6^2)+SQRT(((C7-C8)/(C6^2)-0.5)^2 + (2*C7)/(C6^2))</f>
        <v>1.3333333333333333</v>
      </c>
      <c r="D12" s="1">
        <f t="shared" si="1"/>
        <v>1.3333333333333333</v>
      </c>
      <c r="E12" s="1">
        <f t="shared" si="1"/>
        <v>1.3333333333333333</v>
      </c>
      <c r="F12" s="1">
        <f t="shared" si="1"/>
        <v>1.3333333333333333</v>
      </c>
      <c r="G12" s="1">
        <f t="shared" si="1"/>
        <v>1.3333333333333333</v>
      </c>
      <c r="H12" s="1">
        <f t="shared" si="1"/>
        <v>1.3333333333333333</v>
      </c>
      <c r="I12" s="1">
        <f t="shared" si="1"/>
        <v>1.3333333333333333</v>
      </c>
      <c r="J12" s="1">
        <f t="shared" si="1"/>
        <v>1.3333333333333333</v>
      </c>
    </row>
    <row r="13" spans="1:10">
      <c r="A13" t="s">
        <v>500</v>
      </c>
      <c r="B13" s="1">
        <f>B10*(B3^B12)</f>
        <v>9.539285350502567</v>
      </c>
      <c r="C13" s="1">
        <f t="shared" ref="C13:J13" si="2">C10*(C3^C12)</f>
        <v>32.367005256412355</v>
      </c>
      <c r="D13" s="1">
        <f t="shared" si="2"/>
        <v>81.559742489223837</v>
      </c>
      <c r="E13" s="1">
        <f t="shared" si="2"/>
        <v>140.04389826959502</v>
      </c>
      <c r="F13" s="1">
        <f t="shared" si="2"/>
        <v>205.51767277235692</v>
      </c>
      <c r="G13" s="1">
        <f t="shared" si="2"/>
        <v>276.73400227211681</v>
      </c>
      <c r="H13" s="1">
        <f t="shared" si="2"/>
        <v>352.88851067839806</v>
      </c>
      <c r="I13" s="1">
        <f t="shared" si="2"/>
        <v>433.41097553564333</v>
      </c>
      <c r="J13" s="1">
        <f t="shared" si="2"/>
        <v>517.87208410259757</v>
      </c>
    </row>
    <row r="14" spans="1:10">
      <c r="A14" t="s">
        <v>129</v>
      </c>
      <c r="B14" s="1">
        <f t="shared" ref="B14:J14" si="3">B3/B8-B5/B7-B4</f>
        <v>-116.66666666666666</v>
      </c>
      <c r="C14" s="1">
        <f t="shared" si="3"/>
        <v>-66.666666666666657</v>
      </c>
      <c r="D14" s="1">
        <f t="shared" si="3"/>
        <v>16.666666666666686</v>
      </c>
      <c r="E14" s="1">
        <f t="shared" si="3"/>
        <v>100</v>
      </c>
      <c r="F14" s="1">
        <f t="shared" si="3"/>
        <v>183.33333333333337</v>
      </c>
      <c r="G14" s="1">
        <f t="shared" si="3"/>
        <v>266.66666666666669</v>
      </c>
      <c r="H14" s="1">
        <f t="shared" si="3"/>
        <v>350</v>
      </c>
      <c r="I14" s="1">
        <f t="shared" si="3"/>
        <v>433.33333333333337</v>
      </c>
      <c r="J14" s="1">
        <f t="shared" si="3"/>
        <v>516.66666666666674</v>
      </c>
    </row>
    <row r="15" spans="1:10">
      <c r="A15" t="s">
        <v>278</v>
      </c>
      <c r="B15" s="1">
        <f>0.5*(B6^2)*(B3^2)*B17+(B7-B8)*B3*B16-B7*B13</f>
        <v>0</v>
      </c>
      <c r="C15" s="1">
        <f t="shared" ref="C15:J15" si="4">0.5*(C6^2)*(C3^2)*C17+(C7-C8)*C3*C16-C7*C13</f>
        <v>0</v>
      </c>
      <c r="D15" s="1">
        <f t="shared" si="4"/>
        <v>0</v>
      </c>
      <c r="E15" s="1">
        <f t="shared" si="4"/>
        <v>0</v>
      </c>
      <c r="F15" s="1">
        <f t="shared" si="4"/>
        <v>0</v>
      </c>
      <c r="G15" s="1">
        <f t="shared" si="4"/>
        <v>0</v>
      </c>
      <c r="H15" s="1">
        <f t="shared" si="4"/>
        <v>0</v>
      </c>
      <c r="I15" s="1">
        <f t="shared" si="4"/>
        <v>0</v>
      </c>
      <c r="J15" s="1">
        <f t="shared" si="4"/>
        <v>0</v>
      </c>
    </row>
    <row r="16" spans="1:10">
      <c r="A16" t="s">
        <v>279</v>
      </c>
      <c r="B16" s="1">
        <f>B12*B10*(B3^(B12-1))</f>
        <v>12.719047134003421</v>
      </c>
      <c r="C16" s="1">
        <f t="shared" ref="C16:J16" si="5">C12*C10*(C3^(C12-1))</f>
        <v>17.262402803419921</v>
      </c>
      <c r="D16" s="1">
        <f t="shared" si="5"/>
        <v>21.749264663793028</v>
      </c>
      <c r="E16" s="1">
        <f t="shared" si="5"/>
        <v>24.89669302570578</v>
      </c>
      <c r="F16" s="1">
        <f t="shared" si="5"/>
        <v>27.402356369647578</v>
      </c>
      <c r="G16" s="1">
        <f t="shared" si="5"/>
        <v>29.518293575692446</v>
      </c>
      <c r="H16" s="1">
        <f t="shared" si="5"/>
        <v>31.367867615857591</v>
      </c>
      <c r="I16" s="1">
        <f t="shared" si="5"/>
        <v>33.021788612239476</v>
      </c>
      <c r="J16" s="1">
        <f t="shared" si="5"/>
        <v>34.524805606839834</v>
      </c>
    </row>
    <row r="17" spans="1:10">
      <c r="A17" t="s">
        <v>280</v>
      </c>
      <c r="B17" s="1">
        <f>B12*(B12-1)*B10*(B3^(B12-2))</f>
        <v>4.2396823780011399</v>
      </c>
      <c r="C17" s="1">
        <f t="shared" ref="C17:J17" si="6">C12*(C12-1)*C10*(C3^(C12-2))</f>
        <v>2.3016537071226559</v>
      </c>
      <c r="D17" s="1">
        <f t="shared" si="6"/>
        <v>1.4499509775862018</v>
      </c>
      <c r="E17" s="1">
        <f t="shared" si="6"/>
        <v>1.1065196900313679</v>
      </c>
      <c r="F17" s="1">
        <f t="shared" si="6"/>
        <v>0.91341187898825227</v>
      </c>
      <c r="G17" s="1">
        <f t="shared" si="6"/>
        <v>0.78715449535179816</v>
      </c>
      <c r="H17" s="1">
        <f t="shared" si="6"/>
        <v>0.69706372479683532</v>
      </c>
      <c r="I17" s="1">
        <f t="shared" si="6"/>
        <v>0.62898644975694218</v>
      </c>
      <c r="J17" s="1">
        <f t="shared" si="6"/>
        <v>0.57541342678066398</v>
      </c>
    </row>
    <row r="18" spans="1:10">
      <c r="A18" t="s">
        <v>281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t="s">
        <v>497</v>
      </c>
      <c r="B19" s="1">
        <f>B10*(B11^B12)</f>
        <v>449.99999385647766</v>
      </c>
      <c r="C19" s="1">
        <f t="shared" ref="C19:J19" si="7">C10*(C11^C12)</f>
        <v>449.99999385647766</v>
      </c>
      <c r="D19" s="1">
        <f t="shared" si="7"/>
        <v>449.99999385647766</v>
      </c>
      <c r="E19" s="1">
        <f t="shared" si="7"/>
        <v>449.99999385647766</v>
      </c>
      <c r="F19" s="1">
        <f t="shared" si="7"/>
        <v>449.99999385647766</v>
      </c>
      <c r="G19" s="1">
        <f t="shared" si="7"/>
        <v>449.99999385647766</v>
      </c>
      <c r="H19" s="1">
        <f t="shared" si="7"/>
        <v>449.99999385647766</v>
      </c>
      <c r="I19" s="1">
        <f t="shared" si="7"/>
        <v>449.99999385647766</v>
      </c>
      <c r="J19" s="1">
        <f t="shared" si="7"/>
        <v>449.99999385647766</v>
      </c>
    </row>
    <row r="20" spans="1:10">
      <c r="A20" t="s">
        <v>496</v>
      </c>
      <c r="B20" s="1">
        <f>(B11/B8)-(B5/B7)-B4</f>
        <v>449.99999405029087</v>
      </c>
      <c r="C20" s="1">
        <f t="shared" ref="C20:J20" si="8">(C11/C8)-(C5/C7)-C4</f>
        <v>449.99999405029087</v>
      </c>
      <c r="D20" s="1">
        <f t="shared" si="8"/>
        <v>449.99999405029087</v>
      </c>
      <c r="E20" s="1">
        <f t="shared" si="8"/>
        <v>449.99999405029087</v>
      </c>
      <c r="F20" s="1">
        <f t="shared" si="8"/>
        <v>449.99999405029087</v>
      </c>
      <c r="G20" s="1">
        <f t="shared" si="8"/>
        <v>449.99999405029087</v>
      </c>
      <c r="H20" s="1">
        <f t="shared" si="8"/>
        <v>449.99999405029087</v>
      </c>
      <c r="I20" s="1">
        <f t="shared" si="8"/>
        <v>449.99999405029087</v>
      </c>
      <c r="J20" s="1">
        <f t="shared" si="8"/>
        <v>449.99999405029087</v>
      </c>
    </row>
    <row r="21" spans="1:10">
      <c r="A21" t="s">
        <v>282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t="s">
        <v>498</v>
      </c>
      <c r="B22" s="127">
        <f>B12*B10*(B11^(B12-1))</f>
        <v>33.333333208796994</v>
      </c>
      <c r="C22" s="127">
        <f t="shared" ref="C22:J22" si="9">C12*C10*(C11^(C12-1))</f>
        <v>33.333333208796994</v>
      </c>
      <c r="D22" s="127">
        <f t="shared" si="9"/>
        <v>33.333333208796994</v>
      </c>
      <c r="E22" s="127">
        <f t="shared" si="9"/>
        <v>33.333333208796994</v>
      </c>
      <c r="F22" s="127">
        <f t="shared" si="9"/>
        <v>33.333333208796994</v>
      </c>
      <c r="G22" s="127">
        <f t="shared" si="9"/>
        <v>33.333333208796994</v>
      </c>
      <c r="H22" s="127">
        <f t="shared" si="9"/>
        <v>33.333333208796994</v>
      </c>
      <c r="I22" s="127">
        <f t="shared" si="9"/>
        <v>33.333333208796994</v>
      </c>
      <c r="J22" s="127">
        <f t="shared" si="9"/>
        <v>33.333333208796994</v>
      </c>
    </row>
    <row r="23" spans="1:10">
      <c r="A23" s="82" t="s">
        <v>499</v>
      </c>
      <c r="B23" s="1">
        <f>(1/B8)</f>
        <v>33.333333333333336</v>
      </c>
      <c r="C23" s="1">
        <f t="shared" ref="C23:J23" si="10">(1/C8)</f>
        <v>33.333333333333336</v>
      </c>
      <c r="D23" s="1">
        <f t="shared" si="10"/>
        <v>33.333333333333336</v>
      </c>
      <c r="E23" s="1">
        <f t="shared" si="10"/>
        <v>33.333333333333336</v>
      </c>
      <c r="F23" s="1">
        <f t="shared" si="10"/>
        <v>33.333333333333336</v>
      </c>
      <c r="G23" s="1">
        <f t="shared" si="10"/>
        <v>33.333333333333336</v>
      </c>
      <c r="H23" s="1">
        <f t="shared" si="10"/>
        <v>33.333333333333336</v>
      </c>
      <c r="I23" s="1">
        <f t="shared" si="10"/>
        <v>33.333333333333336</v>
      </c>
      <c r="J23" s="1">
        <f t="shared" si="10"/>
        <v>33.333333333333336</v>
      </c>
    </row>
    <row r="33" spans="1:1">
      <c r="A33" s="34" t="s">
        <v>288</v>
      </c>
    </row>
    <row r="34" spans="1:1">
      <c r="A34" s="128" t="s">
        <v>495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K84"/>
  <sheetViews>
    <sheetView workbookViewId="0">
      <selection activeCell="D1" sqref="D1"/>
    </sheetView>
  </sheetViews>
  <sheetFormatPr defaultRowHeight="12.75"/>
  <cols>
    <col min="2" max="2" width="36.85546875" bestFit="1" customWidth="1"/>
    <col min="3" max="10" width="8.7109375" customWidth="1"/>
  </cols>
  <sheetData>
    <row r="1" spans="1:11">
      <c r="A1" s="129" t="s">
        <v>285</v>
      </c>
      <c r="B1" s="129"/>
      <c r="C1" s="129"/>
      <c r="D1" s="103"/>
      <c r="E1" s="103"/>
      <c r="F1" s="103"/>
      <c r="G1" s="103"/>
      <c r="H1" s="103"/>
      <c r="I1" s="103"/>
      <c r="J1" s="103"/>
      <c r="K1" s="103"/>
    </row>
    <row r="2" spans="1:11" ht="13.5" thickBot="1">
      <c r="C2" s="130" t="s">
        <v>553</v>
      </c>
      <c r="D2" s="130" t="s">
        <v>553</v>
      </c>
      <c r="E2" s="130" t="s">
        <v>553</v>
      </c>
      <c r="F2" s="130" t="s">
        <v>553</v>
      </c>
    </row>
    <row r="3" spans="1:11" ht="13.5" thickTop="1">
      <c r="A3" s="131"/>
      <c r="B3" s="132" t="s">
        <v>583</v>
      </c>
      <c r="C3" s="132"/>
      <c r="D3" s="132"/>
      <c r="E3" s="132"/>
      <c r="F3" s="132"/>
      <c r="G3" s="132"/>
      <c r="H3" s="132"/>
      <c r="I3" s="132"/>
      <c r="J3" s="132"/>
      <c r="K3" s="133"/>
    </row>
    <row r="4" spans="1:11">
      <c r="A4" s="134" t="s">
        <v>59</v>
      </c>
      <c r="B4" s="6" t="s">
        <v>728</v>
      </c>
      <c r="C4" s="123">
        <v>1</v>
      </c>
      <c r="D4" s="123">
        <v>2.5</v>
      </c>
      <c r="E4" s="123">
        <f>D4+2.5</f>
        <v>5</v>
      </c>
      <c r="F4" s="123">
        <f t="shared" ref="F4:K4" si="0">E4+2.5</f>
        <v>7.5</v>
      </c>
      <c r="G4" s="123">
        <f t="shared" si="0"/>
        <v>10</v>
      </c>
      <c r="H4" s="123">
        <f t="shared" si="0"/>
        <v>12.5</v>
      </c>
      <c r="I4" s="123">
        <f t="shared" si="0"/>
        <v>15</v>
      </c>
      <c r="J4" s="123">
        <f t="shared" si="0"/>
        <v>17.5</v>
      </c>
      <c r="K4" s="124">
        <f t="shared" si="0"/>
        <v>20</v>
      </c>
    </row>
    <row r="5" spans="1:11">
      <c r="A5" s="231" t="s">
        <v>35</v>
      </c>
      <c r="B5" s="17" t="s">
        <v>237</v>
      </c>
      <c r="C5" s="14">
        <v>100</v>
      </c>
      <c r="D5" s="14">
        <f t="shared" ref="D5:K10" si="1">C5</f>
        <v>100</v>
      </c>
      <c r="E5" s="14">
        <f t="shared" si="1"/>
        <v>100</v>
      </c>
      <c r="F5" s="14">
        <f t="shared" si="1"/>
        <v>100</v>
      </c>
      <c r="G5" s="14">
        <f t="shared" si="1"/>
        <v>100</v>
      </c>
      <c r="H5" s="14">
        <f t="shared" si="1"/>
        <v>100</v>
      </c>
      <c r="I5" s="14">
        <f t="shared" si="1"/>
        <v>100</v>
      </c>
      <c r="J5" s="14">
        <f t="shared" si="1"/>
        <v>100</v>
      </c>
      <c r="K5" s="136">
        <f t="shared" si="1"/>
        <v>100</v>
      </c>
    </row>
    <row r="6" spans="1:11">
      <c r="A6" s="134" t="s">
        <v>238</v>
      </c>
      <c r="B6" s="17" t="s">
        <v>251</v>
      </c>
      <c r="C6" s="14">
        <v>3</v>
      </c>
      <c r="D6" s="14">
        <f t="shared" si="1"/>
        <v>3</v>
      </c>
      <c r="E6" s="14">
        <f t="shared" si="1"/>
        <v>3</v>
      </c>
      <c r="F6" s="14">
        <f t="shared" si="1"/>
        <v>3</v>
      </c>
      <c r="G6" s="14">
        <f t="shared" si="1"/>
        <v>3</v>
      </c>
      <c r="H6" s="14">
        <f t="shared" si="1"/>
        <v>3</v>
      </c>
      <c r="I6" s="14">
        <f t="shared" si="1"/>
        <v>3</v>
      </c>
      <c r="J6" s="14">
        <f t="shared" si="1"/>
        <v>3</v>
      </c>
      <c r="K6" s="136">
        <f t="shared" si="1"/>
        <v>3</v>
      </c>
    </row>
    <row r="7" spans="1:11">
      <c r="A7" s="231" t="s">
        <v>609</v>
      </c>
      <c r="B7" s="17" t="s">
        <v>286</v>
      </c>
      <c r="C7" s="137">
        <v>3</v>
      </c>
      <c r="D7" s="14">
        <f t="shared" si="1"/>
        <v>3</v>
      </c>
      <c r="E7" s="14">
        <f t="shared" si="1"/>
        <v>3</v>
      </c>
      <c r="F7" s="14">
        <f t="shared" si="1"/>
        <v>3</v>
      </c>
      <c r="G7" s="14">
        <f t="shared" si="1"/>
        <v>3</v>
      </c>
      <c r="H7" s="14">
        <f t="shared" si="1"/>
        <v>3</v>
      </c>
      <c r="I7" s="14">
        <f t="shared" si="1"/>
        <v>3</v>
      </c>
      <c r="J7" s="14">
        <f t="shared" si="1"/>
        <v>3</v>
      </c>
      <c r="K7" s="136">
        <f t="shared" si="1"/>
        <v>3</v>
      </c>
    </row>
    <row r="8" spans="1:11">
      <c r="A8" s="134" t="s">
        <v>2</v>
      </c>
      <c r="B8" s="17" t="s">
        <v>249</v>
      </c>
      <c r="C8" s="137">
        <v>0.06</v>
      </c>
      <c r="D8" s="14">
        <f t="shared" si="1"/>
        <v>0.06</v>
      </c>
      <c r="E8" s="14">
        <f t="shared" si="1"/>
        <v>0.06</v>
      </c>
      <c r="F8" s="14">
        <f t="shared" si="1"/>
        <v>0.06</v>
      </c>
      <c r="G8" s="14">
        <f t="shared" si="1"/>
        <v>0.06</v>
      </c>
      <c r="H8" s="14">
        <f t="shared" si="1"/>
        <v>0.06</v>
      </c>
      <c r="I8" s="14">
        <f t="shared" si="1"/>
        <v>0.06</v>
      </c>
      <c r="J8" s="14">
        <f t="shared" si="1"/>
        <v>0.06</v>
      </c>
      <c r="K8" s="136">
        <f t="shared" si="1"/>
        <v>0.06</v>
      </c>
    </row>
    <row r="9" spans="1:11">
      <c r="A9" s="134" t="s">
        <v>246</v>
      </c>
      <c r="B9" s="100" t="s">
        <v>250</v>
      </c>
      <c r="C9" s="137">
        <v>0.03</v>
      </c>
      <c r="D9" s="14">
        <f t="shared" si="1"/>
        <v>0.03</v>
      </c>
      <c r="E9" s="14">
        <f t="shared" si="1"/>
        <v>0.03</v>
      </c>
      <c r="F9" s="14">
        <f t="shared" si="1"/>
        <v>0.03</v>
      </c>
      <c r="G9" s="14">
        <f t="shared" si="1"/>
        <v>0.03</v>
      </c>
      <c r="H9" s="14">
        <f t="shared" si="1"/>
        <v>0.03</v>
      </c>
      <c r="I9" s="14">
        <f t="shared" si="1"/>
        <v>0.03</v>
      </c>
      <c r="J9" s="14">
        <f t="shared" si="1"/>
        <v>0.03</v>
      </c>
      <c r="K9" s="136">
        <f t="shared" si="1"/>
        <v>0.03</v>
      </c>
    </row>
    <row r="10" spans="1:11">
      <c r="A10" s="134" t="s">
        <v>239</v>
      </c>
      <c r="B10" s="160" t="s">
        <v>729</v>
      </c>
      <c r="C10" s="137">
        <v>0.3</v>
      </c>
      <c r="D10" s="14">
        <f t="shared" si="1"/>
        <v>0.3</v>
      </c>
      <c r="E10" s="14">
        <f t="shared" si="1"/>
        <v>0.3</v>
      </c>
      <c r="F10" s="14">
        <f t="shared" si="1"/>
        <v>0.3</v>
      </c>
      <c r="G10" s="14">
        <f t="shared" si="1"/>
        <v>0.3</v>
      </c>
      <c r="H10" s="14">
        <f t="shared" si="1"/>
        <v>0.3</v>
      </c>
      <c r="I10" s="14">
        <f t="shared" si="1"/>
        <v>0.3</v>
      </c>
      <c r="J10" s="14">
        <f t="shared" si="1"/>
        <v>0.3</v>
      </c>
      <c r="K10" s="136">
        <f t="shared" si="1"/>
        <v>0.3</v>
      </c>
    </row>
    <row r="11" spans="1:11" ht="13.5" thickBot="1">
      <c r="A11" s="134" t="s">
        <v>553</v>
      </c>
      <c r="B11" s="100" t="s">
        <v>605</v>
      </c>
      <c r="C11" s="17" t="s">
        <v>553</v>
      </c>
      <c r="D11" s="47" t="s">
        <v>553</v>
      </c>
      <c r="E11" s="47" t="s">
        <v>553</v>
      </c>
      <c r="F11" s="47" t="s">
        <v>553</v>
      </c>
      <c r="G11" s="47" t="s">
        <v>553</v>
      </c>
      <c r="H11" s="47" t="s">
        <v>553</v>
      </c>
      <c r="I11" s="47" t="s">
        <v>553</v>
      </c>
      <c r="J11" s="47" t="s">
        <v>553</v>
      </c>
      <c r="K11" s="138" t="s">
        <v>553</v>
      </c>
    </row>
    <row r="12" spans="1:11" ht="13.5" thickTop="1">
      <c r="A12" s="134" t="s">
        <v>240</v>
      </c>
      <c r="B12" s="160" t="s">
        <v>502</v>
      </c>
      <c r="C12" s="139">
        <f t="shared" ref="C12:K12" si="2">0.5-((C8-C9)/(C10^2))+SQRT(((((C8-C9)/(C10^2))-0.5)^2)+(2*(C8/(C10^2))))</f>
        <v>1.3333333333333333</v>
      </c>
      <c r="D12" s="140">
        <f t="shared" si="2"/>
        <v>1.3333333333333333</v>
      </c>
      <c r="E12" s="140">
        <f t="shared" si="2"/>
        <v>1.3333333333333333</v>
      </c>
      <c r="F12" s="140">
        <f t="shared" si="2"/>
        <v>1.3333333333333333</v>
      </c>
      <c r="G12" s="140">
        <f t="shared" si="2"/>
        <v>1.3333333333333333</v>
      </c>
      <c r="H12" s="140">
        <f t="shared" si="2"/>
        <v>1.3333333333333333</v>
      </c>
      <c r="I12" s="140">
        <f t="shared" si="2"/>
        <v>1.3333333333333333</v>
      </c>
      <c r="J12" s="140">
        <f t="shared" si="2"/>
        <v>1.3333333333333333</v>
      </c>
      <c r="K12" s="141">
        <f t="shared" si="2"/>
        <v>1.3333333333333333</v>
      </c>
    </row>
    <row r="13" spans="1:11">
      <c r="A13" s="134" t="s">
        <v>241</v>
      </c>
      <c r="B13" s="160" t="s">
        <v>503</v>
      </c>
      <c r="C13" s="142">
        <f t="shared" ref="C13:K13" si="3">0.5-((C8-C9)/(C10^2))-SQRT(((((C8-C9)/(C10^2))-0.5)^2)+(2*(C8/(C10^2))))</f>
        <v>-0.99999999999999978</v>
      </c>
      <c r="D13" s="47">
        <f t="shared" si="3"/>
        <v>-0.99999999999999978</v>
      </c>
      <c r="E13" s="47">
        <f t="shared" si="3"/>
        <v>-0.99999999999999978</v>
      </c>
      <c r="F13" s="47">
        <f t="shared" si="3"/>
        <v>-0.99999999999999978</v>
      </c>
      <c r="G13" s="47">
        <f t="shared" si="3"/>
        <v>-0.99999999999999978</v>
      </c>
      <c r="H13" s="47">
        <f t="shared" si="3"/>
        <v>-0.99999999999999978</v>
      </c>
      <c r="I13" s="47">
        <f t="shared" si="3"/>
        <v>-0.99999999999999978</v>
      </c>
      <c r="J13" s="47">
        <f t="shared" si="3"/>
        <v>-0.99999999999999978</v>
      </c>
      <c r="K13" s="138">
        <f t="shared" si="3"/>
        <v>-0.99999999999999978</v>
      </c>
    </row>
    <row r="14" spans="1:11">
      <c r="A14" s="134"/>
      <c r="B14" s="17"/>
      <c r="C14" s="142"/>
      <c r="D14" s="47"/>
      <c r="E14" s="47"/>
      <c r="F14" s="47"/>
      <c r="G14" s="47"/>
      <c r="H14" s="47"/>
      <c r="I14" s="47"/>
      <c r="J14" s="47"/>
      <c r="K14" s="138"/>
    </row>
    <row r="15" spans="1:11">
      <c r="A15" s="134" t="s">
        <v>47</v>
      </c>
      <c r="B15" s="160" t="s">
        <v>504</v>
      </c>
      <c r="C15" s="142">
        <f>IF(C4&lt;C20,C18*(C4^C12),C27)</f>
        <v>9.5672592213042442</v>
      </c>
      <c r="D15" s="47">
        <f t="shared" ref="D15:K15" si="4">IF(D4&lt;D20,D18*(D4^D12),D27)</f>
        <v>32.461921216047884</v>
      </c>
      <c r="E15" s="47">
        <f t="shared" si="4"/>
        <v>81.79891572025538</v>
      </c>
      <c r="F15" s="47">
        <f t="shared" si="4"/>
        <v>140.45457577559398</v>
      </c>
      <c r="G15" s="47">
        <f t="shared" si="4"/>
        <v>206.12035154905297</v>
      </c>
      <c r="H15" s="47">
        <f t="shared" si="4"/>
        <v>277.54552231177928</v>
      </c>
      <c r="I15" s="47">
        <f t="shared" si="4"/>
        <v>353.92335314745088</v>
      </c>
      <c r="J15" s="47">
        <f>IF(J4&lt;J20,J18*(J4^J12),J27)</f>
        <v>434.68194942815029</v>
      </c>
      <c r="K15" s="138">
        <f t="shared" si="4"/>
        <v>516.66666666666674</v>
      </c>
    </row>
    <row r="16" spans="1:11">
      <c r="A16" s="231" t="s">
        <v>508</v>
      </c>
      <c r="B16" s="160" t="s">
        <v>505</v>
      </c>
      <c r="C16" s="142">
        <f>C19*(C4^C13)+(C4/C9)-(C6/C8)</f>
        <v>6.6635279397713418</v>
      </c>
      <c r="D16" s="47">
        <f t="shared" ref="D16:K16" si="5">D19*(D4^D13)+(D4/D9)-(D6/D8)</f>
        <v>42.665411175908545</v>
      </c>
      <c r="E16" s="47">
        <f t="shared" si="5"/>
        <v>121.33270558795428</v>
      </c>
      <c r="F16" s="47">
        <f t="shared" si="5"/>
        <v>203.11069261419175</v>
      </c>
      <c r="G16" s="47">
        <f t="shared" si="5"/>
        <v>285.66635279397718</v>
      </c>
      <c r="H16" s="47">
        <f t="shared" si="5"/>
        <v>368.53308223518172</v>
      </c>
      <c r="I16" s="47">
        <f t="shared" si="5"/>
        <v>451.55534630709587</v>
      </c>
      <c r="J16" s="47">
        <f t="shared" si="5"/>
        <v>534.6664873108441</v>
      </c>
      <c r="K16" s="138">
        <f t="shared" si="5"/>
        <v>617.83317639698862</v>
      </c>
    </row>
    <row r="17" spans="1:11">
      <c r="A17" s="134" t="s">
        <v>553</v>
      </c>
      <c r="B17" s="17" t="s">
        <v>553</v>
      </c>
      <c r="C17" s="142" t="s">
        <v>553</v>
      </c>
      <c r="D17" s="47" t="s">
        <v>553</v>
      </c>
      <c r="E17" s="47" t="s">
        <v>553</v>
      </c>
      <c r="F17" s="47" t="s">
        <v>553</v>
      </c>
      <c r="G17" s="47" t="s">
        <v>553</v>
      </c>
      <c r="H17" s="47" t="s">
        <v>553</v>
      </c>
      <c r="I17" s="47" t="s">
        <v>553</v>
      </c>
      <c r="J17" s="47" t="s">
        <v>553</v>
      </c>
      <c r="K17" s="138" t="s">
        <v>553</v>
      </c>
    </row>
    <row r="18" spans="1:11">
      <c r="A18" s="134" t="s">
        <v>561</v>
      </c>
      <c r="B18" s="100" t="s">
        <v>243</v>
      </c>
      <c r="C18" s="142">
        <v>9.5672592213042442</v>
      </c>
      <c r="D18" s="47">
        <f>C18</f>
        <v>9.5672592213042442</v>
      </c>
      <c r="E18" s="47">
        <f t="shared" ref="E18:K18" si="6">D18</f>
        <v>9.5672592213042442</v>
      </c>
      <c r="F18" s="47">
        <f t="shared" si="6"/>
        <v>9.5672592213042442</v>
      </c>
      <c r="G18" s="47">
        <f t="shared" si="6"/>
        <v>9.5672592213042442</v>
      </c>
      <c r="H18" s="47">
        <f t="shared" si="6"/>
        <v>9.5672592213042442</v>
      </c>
      <c r="I18" s="47">
        <f t="shared" si="6"/>
        <v>9.5672592213042442</v>
      </c>
      <c r="J18" s="47">
        <f t="shared" si="6"/>
        <v>9.5672592213042442</v>
      </c>
      <c r="K18" s="138">
        <f t="shared" si="6"/>
        <v>9.5672592213042442</v>
      </c>
    </row>
    <row r="19" spans="1:11">
      <c r="A19" s="134" t="s">
        <v>558</v>
      </c>
      <c r="B19" s="100" t="s">
        <v>244</v>
      </c>
      <c r="C19" s="142">
        <v>23.330194606438006</v>
      </c>
      <c r="D19" s="47">
        <f t="shared" ref="D19:K21" si="7">C19</f>
        <v>23.330194606438006</v>
      </c>
      <c r="E19" s="47">
        <f t="shared" si="7"/>
        <v>23.330194606438006</v>
      </c>
      <c r="F19" s="47">
        <f t="shared" si="7"/>
        <v>23.330194606438006</v>
      </c>
      <c r="G19" s="47">
        <f t="shared" si="7"/>
        <v>23.330194606438006</v>
      </c>
      <c r="H19" s="47">
        <f t="shared" si="7"/>
        <v>23.330194606438006</v>
      </c>
      <c r="I19" s="47">
        <f t="shared" si="7"/>
        <v>23.330194606438006</v>
      </c>
      <c r="J19" s="47">
        <f t="shared" si="7"/>
        <v>23.330194606438006</v>
      </c>
      <c r="K19" s="138">
        <f t="shared" si="7"/>
        <v>23.330194606438006</v>
      </c>
    </row>
    <row r="20" spans="1:11">
      <c r="A20" s="231" t="s">
        <v>506</v>
      </c>
      <c r="B20" s="17" t="s">
        <v>284</v>
      </c>
      <c r="C20" s="142">
        <v>17.723569725979871</v>
      </c>
      <c r="D20" s="47">
        <f t="shared" si="7"/>
        <v>17.723569725979871</v>
      </c>
      <c r="E20" s="47">
        <f t="shared" si="7"/>
        <v>17.723569725979871</v>
      </c>
      <c r="F20" s="47">
        <f t="shared" si="7"/>
        <v>17.723569725979871</v>
      </c>
      <c r="G20" s="47">
        <f t="shared" si="7"/>
        <v>17.723569725979871</v>
      </c>
      <c r="H20" s="47">
        <f t="shared" si="7"/>
        <v>17.723569725979871</v>
      </c>
      <c r="I20" s="47">
        <f t="shared" si="7"/>
        <v>17.723569725979871</v>
      </c>
      <c r="J20" s="47">
        <f t="shared" si="7"/>
        <v>17.723569725979871</v>
      </c>
      <c r="K20" s="138">
        <f t="shared" si="7"/>
        <v>17.723569725979871</v>
      </c>
    </row>
    <row r="21" spans="1:11">
      <c r="A21" s="134" t="s">
        <v>256</v>
      </c>
      <c r="B21" s="17" t="s">
        <v>257</v>
      </c>
      <c r="C21" s="142">
        <v>1.0726994792987044</v>
      </c>
      <c r="D21" s="47">
        <f t="shared" si="7"/>
        <v>1.0726994792987044</v>
      </c>
      <c r="E21" s="47">
        <f t="shared" si="7"/>
        <v>1.0726994792987044</v>
      </c>
      <c r="F21" s="47">
        <f t="shared" si="7"/>
        <v>1.0726994792987044</v>
      </c>
      <c r="G21" s="47">
        <f t="shared" si="7"/>
        <v>1.0726994792987044</v>
      </c>
      <c r="H21" s="47">
        <f t="shared" si="7"/>
        <v>1.0726994792987044</v>
      </c>
      <c r="I21" s="47">
        <f t="shared" si="7"/>
        <v>1.0726994792987044</v>
      </c>
      <c r="J21" s="47">
        <f t="shared" si="7"/>
        <v>1.0726994792987044</v>
      </c>
      <c r="K21" s="138">
        <f t="shared" si="7"/>
        <v>1.0726994792987044</v>
      </c>
    </row>
    <row r="22" spans="1:11">
      <c r="A22" s="134"/>
      <c r="B22" s="17"/>
      <c r="C22" s="134"/>
      <c r="D22" s="17"/>
      <c r="E22" s="17"/>
      <c r="F22" s="17"/>
      <c r="G22" s="17"/>
      <c r="H22" s="17"/>
      <c r="I22" s="17"/>
      <c r="J22" s="17"/>
      <c r="K22" s="143"/>
    </row>
    <row r="23" spans="1:11">
      <c r="A23" s="134"/>
      <c r="B23" s="160" t="s">
        <v>350</v>
      </c>
      <c r="C23" s="142">
        <f t="shared" ref="C23:K23" si="8">(-C18*(C20^C12))+(C19*(C20^C13))+(C20/C9)-(C6/C8)-C5</f>
        <v>2.4539209562135511E-6</v>
      </c>
      <c r="D23" s="47">
        <f t="shared" si="8"/>
        <v>2.4539209562135511E-6</v>
      </c>
      <c r="E23" s="47">
        <f t="shared" si="8"/>
        <v>2.4539209562135511E-6</v>
      </c>
      <c r="F23" s="47">
        <f t="shared" si="8"/>
        <v>2.4539209562135511E-6</v>
      </c>
      <c r="G23" s="47">
        <f t="shared" si="8"/>
        <v>2.4539209562135511E-6</v>
      </c>
      <c r="H23" s="47">
        <f t="shared" si="8"/>
        <v>2.4539209562135511E-6</v>
      </c>
      <c r="I23" s="47">
        <f t="shared" si="8"/>
        <v>2.4539209562135511E-6</v>
      </c>
      <c r="J23" s="47">
        <f t="shared" si="8"/>
        <v>2.4539209562135511E-6</v>
      </c>
      <c r="K23" s="138">
        <f t="shared" si="8"/>
        <v>2.4539209562135511E-6</v>
      </c>
    </row>
    <row r="24" spans="1:11">
      <c r="A24" s="134"/>
      <c r="B24" s="160" t="s">
        <v>351</v>
      </c>
      <c r="C24" s="142">
        <f t="shared" ref="C24:K24" si="9">(-C12*C18*(C20^(C12-1)))+(C13*C19*(C20^(C13-1)))+(1/C9)</f>
        <v>-1.5607080428026165E-7</v>
      </c>
      <c r="D24" s="47">
        <f t="shared" si="9"/>
        <v>-1.5607080428026165E-7</v>
      </c>
      <c r="E24" s="47">
        <f t="shared" si="9"/>
        <v>-1.5607080428026165E-7</v>
      </c>
      <c r="F24" s="47">
        <f t="shared" si="9"/>
        <v>-1.5607080428026165E-7</v>
      </c>
      <c r="G24" s="47">
        <f t="shared" si="9"/>
        <v>-1.5607080428026165E-7</v>
      </c>
      <c r="H24" s="47">
        <f t="shared" si="9"/>
        <v>-1.5607080428026165E-7</v>
      </c>
      <c r="I24" s="47">
        <f t="shared" si="9"/>
        <v>-1.5607080428026165E-7</v>
      </c>
      <c r="J24" s="47">
        <f t="shared" si="9"/>
        <v>-1.5607080428026165E-7</v>
      </c>
      <c r="K24" s="138">
        <f t="shared" si="9"/>
        <v>-1.5607080428026165E-7</v>
      </c>
    </row>
    <row r="25" spans="1:11" ht="13.5" thickBot="1">
      <c r="A25" s="134"/>
      <c r="B25" s="160" t="s">
        <v>535</v>
      </c>
      <c r="C25" s="146">
        <f t="shared" ref="C25:K25" si="10">(-C18*(C21^C12))+(C19*(C21^C13))+(C21/C9)-(C6/C8)+C7</f>
        <v>-3.1254757004717248E-8</v>
      </c>
      <c r="D25" s="147">
        <f t="shared" si="10"/>
        <v>-3.1254757004717248E-8</v>
      </c>
      <c r="E25" s="147">
        <f t="shared" si="10"/>
        <v>-3.1254757004717248E-8</v>
      </c>
      <c r="F25" s="147">
        <f t="shared" si="10"/>
        <v>-3.1254757004717248E-8</v>
      </c>
      <c r="G25" s="147">
        <f t="shared" si="10"/>
        <v>-3.1254757004717248E-8</v>
      </c>
      <c r="H25" s="147">
        <f t="shared" si="10"/>
        <v>-3.1254757004717248E-8</v>
      </c>
      <c r="I25" s="147">
        <f t="shared" si="10"/>
        <v>-3.1254757004717248E-8</v>
      </c>
      <c r="J25" s="147">
        <f t="shared" si="10"/>
        <v>-3.1254757004717248E-8</v>
      </c>
      <c r="K25" s="148">
        <f t="shared" si="10"/>
        <v>-3.1254757004717248E-8</v>
      </c>
    </row>
    <row r="26" spans="1:11" ht="14.25" thickTop="1" thickBot="1">
      <c r="A26" s="144"/>
      <c r="B26" s="232" t="s">
        <v>536</v>
      </c>
      <c r="C26" s="146">
        <f t="shared" ref="C26:K26" si="11">(-C12*C18*(C21^(C12-1)))+(C13*C19*(C21^(C13-1)))+(1/C9)</f>
        <v>1.832896501241521E-7</v>
      </c>
      <c r="D26" s="147">
        <f t="shared" si="11"/>
        <v>1.832896501241521E-7</v>
      </c>
      <c r="E26" s="147">
        <f t="shared" si="11"/>
        <v>1.832896501241521E-7</v>
      </c>
      <c r="F26" s="147">
        <f t="shared" si="11"/>
        <v>1.832896501241521E-7</v>
      </c>
      <c r="G26" s="147">
        <f t="shared" si="11"/>
        <v>1.832896501241521E-7</v>
      </c>
      <c r="H26" s="147">
        <f t="shared" si="11"/>
        <v>1.832896501241521E-7</v>
      </c>
      <c r="I26" s="147">
        <f t="shared" si="11"/>
        <v>1.832896501241521E-7</v>
      </c>
      <c r="J26" s="147">
        <f t="shared" si="11"/>
        <v>1.832896501241521E-7</v>
      </c>
      <c r="K26" s="148">
        <f t="shared" si="11"/>
        <v>1.832896501241521E-7</v>
      </c>
    </row>
    <row r="27" spans="1:11" ht="13.5" thickTop="1">
      <c r="A27" s="131"/>
      <c r="B27" s="230" t="s">
        <v>730</v>
      </c>
      <c r="C27" s="140">
        <f>(C4/C9)-(C6/C8)-C5</f>
        <v>-116.66666666666666</v>
      </c>
      <c r="D27" s="140">
        <f t="shared" ref="D27:K27" si="12">(D4/D9)-(D6/D8)-D5</f>
        <v>-66.666666666666657</v>
      </c>
      <c r="E27" s="140">
        <f t="shared" si="12"/>
        <v>16.666666666666686</v>
      </c>
      <c r="F27" s="140">
        <f t="shared" si="12"/>
        <v>100</v>
      </c>
      <c r="G27" s="140">
        <f t="shared" si="12"/>
        <v>183.33333333333337</v>
      </c>
      <c r="H27" s="140">
        <f t="shared" si="12"/>
        <v>266.66666666666669</v>
      </c>
      <c r="I27" s="140">
        <f t="shared" si="12"/>
        <v>350</v>
      </c>
      <c r="J27" s="140">
        <f t="shared" si="12"/>
        <v>433.33333333333337</v>
      </c>
      <c r="K27" s="141">
        <f t="shared" si="12"/>
        <v>516.66666666666674</v>
      </c>
    </row>
    <row r="28" spans="1:11" ht="13.5" thickBot="1">
      <c r="A28" s="144"/>
      <c r="B28" s="145" t="s">
        <v>263</v>
      </c>
      <c r="C28" s="147">
        <f>IF(C27&lt;0,C15,C15-C27)</f>
        <v>9.5672592213042442</v>
      </c>
      <c r="D28" s="147">
        <f t="shared" ref="D28:K28" si="13">IF(D27&lt;0,D15,D15-D27)</f>
        <v>32.461921216047884</v>
      </c>
      <c r="E28" s="147">
        <f t="shared" si="13"/>
        <v>65.132249053588694</v>
      </c>
      <c r="F28" s="147">
        <f t="shared" si="13"/>
        <v>40.45457577559398</v>
      </c>
      <c r="G28" s="147">
        <f t="shared" si="13"/>
        <v>22.787018215719598</v>
      </c>
      <c r="H28" s="147">
        <f t="shared" si="13"/>
        <v>10.878855645112594</v>
      </c>
      <c r="I28" s="147">
        <f t="shared" si="13"/>
        <v>3.9233531474508823</v>
      </c>
      <c r="J28" s="147">
        <f t="shared" si="13"/>
        <v>1.3486160948169186</v>
      </c>
      <c r="K28" s="148">
        <f t="shared" si="13"/>
        <v>0</v>
      </c>
    </row>
    <row r="29" spans="1:11" ht="15.75" thickTop="1">
      <c r="A29" s="149" t="s">
        <v>553</v>
      </c>
      <c r="B29" s="100" t="s">
        <v>553</v>
      </c>
      <c r="C29" s="47" t="s">
        <v>276</v>
      </c>
      <c r="D29" s="47" t="s">
        <v>553</v>
      </c>
      <c r="E29" s="47" t="s">
        <v>553</v>
      </c>
      <c r="F29" s="47" t="s">
        <v>553</v>
      </c>
      <c r="G29" s="47" t="s">
        <v>553</v>
      </c>
      <c r="H29" s="47" t="s">
        <v>553</v>
      </c>
      <c r="I29" s="47" t="s">
        <v>553</v>
      </c>
      <c r="J29" s="47" t="s">
        <v>553</v>
      </c>
      <c r="K29" s="47" t="s">
        <v>553</v>
      </c>
    </row>
    <row r="30" spans="1:11">
      <c r="B30" s="100" t="s">
        <v>50</v>
      </c>
      <c r="C30" s="1">
        <f t="array" ref="C30">SUM(ABS(C23:C26))</f>
        <v>2.8245361676226821E-6</v>
      </c>
      <c r="D30" s="1">
        <f t="array" ref="D30">SUM(ABS(D23:D26))</f>
        <v>2.8245361676226821E-6</v>
      </c>
      <c r="E30" s="1">
        <f t="array" ref="E30">SUM(ABS(E23:E26))</f>
        <v>2.8245361676226821E-6</v>
      </c>
      <c r="F30" s="1">
        <f t="array" ref="F30">SUM(ABS(F23:F26))</f>
        <v>2.8245361676226821E-6</v>
      </c>
      <c r="G30" s="5">
        <f t="array" ref="G30">SUM(ABS(G23:G26))</f>
        <v>2.8245361676226821E-6</v>
      </c>
      <c r="H30" s="5">
        <f t="array" ref="H30">SUM(ABS(H23:H26))</f>
        <v>2.8245361676226821E-6</v>
      </c>
      <c r="I30" s="5">
        <f t="array" ref="I30">SUM(ABS(I23:I26))</f>
        <v>2.8245361676226821E-6</v>
      </c>
      <c r="J30" s="5">
        <f t="array" ref="J30">SUM(ABS(J23:J26))</f>
        <v>2.8245361676226821E-6</v>
      </c>
      <c r="K30" s="5">
        <f t="array" ref="K30">SUM(ABS(K23:K26))</f>
        <v>2.8245361676226821E-6</v>
      </c>
    </row>
    <row r="31" spans="1:11">
      <c r="B31" t="s">
        <v>260</v>
      </c>
      <c r="C31" s="3">
        <f>C15</f>
        <v>9.5672592213042442</v>
      </c>
      <c r="D31" s="3">
        <f t="shared" ref="D31:K31" si="14">D15</f>
        <v>32.461921216047884</v>
      </c>
      <c r="E31" s="3">
        <f t="shared" si="14"/>
        <v>81.79891572025538</v>
      </c>
      <c r="F31" s="3">
        <f t="shared" si="14"/>
        <v>140.45457577559398</v>
      </c>
      <c r="G31" s="3">
        <f t="shared" si="14"/>
        <v>206.12035154905297</v>
      </c>
      <c r="H31" s="3">
        <f t="shared" si="14"/>
        <v>277.54552231177928</v>
      </c>
      <c r="I31" s="3">
        <f t="shared" si="14"/>
        <v>353.92335314745088</v>
      </c>
      <c r="J31" s="3">
        <f t="shared" si="14"/>
        <v>434.68194942815029</v>
      </c>
      <c r="K31" s="3">
        <f t="shared" si="14"/>
        <v>516.66666666666674</v>
      </c>
    </row>
    <row r="32" spans="1:11">
      <c r="B32" t="s">
        <v>259</v>
      </c>
      <c r="C32" s="47">
        <f t="shared" ref="C32:K32" si="15">C19*(C4^C13)</f>
        <v>23.330194606438006</v>
      </c>
      <c r="D32" s="47">
        <f t="shared" si="15"/>
        <v>9.3320778425752042</v>
      </c>
      <c r="E32" s="47">
        <f t="shared" si="15"/>
        <v>4.666038921287603</v>
      </c>
      <c r="F32" s="47">
        <f t="shared" si="15"/>
        <v>3.1106926141917359</v>
      </c>
      <c r="G32" s="47">
        <f t="shared" si="15"/>
        <v>2.3330194606438011</v>
      </c>
      <c r="H32" s="47">
        <f t="shared" si="15"/>
        <v>1.8664155685150412</v>
      </c>
      <c r="I32" s="47">
        <f t="shared" si="15"/>
        <v>1.5553463070958677</v>
      </c>
      <c r="J32" s="47">
        <f t="shared" si="15"/>
        <v>1.3331539775107435</v>
      </c>
      <c r="K32" s="47">
        <f t="shared" si="15"/>
        <v>1.1665097303219008</v>
      </c>
    </row>
    <row r="33" spans="2:11">
      <c r="B33" s="3" t="str">
        <f>B27</f>
        <v>PV-K</v>
      </c>
      <c r="C33" s="3">
        <f t="shared" ref="C33:K33" si="16">C27</f>
        <v>-116.66666666666666</v>
      </c>
      <c r="D33" s="3">
        <f t="shared" si="16"/>
        <v>-66.666666666666657</v>
      </c>
      <c r="E33" s="3">
        <f t="shared" si="16"/>
        <v>16.666666666666686</v>
      </c>
      <c r="F33" s="3">
        <f t="shared" si="16"/>
        <v>100</v>
      </c>
      <c r="G33" s="3">
        <f t="shared" si="16"/>
        <v>183.33333333333337</v>
      </c>
      <c r="H33" s="3">
        <f t="shared" si="16"/>
        <v>266.66666666666669</v>
      </c>
      <c r="I33" s="3">
        <f t="shared" si="16"/>
        <v>350</v>
      </c>
      <c r="J33" s="3">
        <f t="shared" si="16"/>
        <v>433.33333333333337</v>
      </c>
      <c r="K33" s="3">
        <f t="shared" si="16"/>
        <v>516.66666666666674</v>
      </c>
    </row>
    <row r="34" spans="2:11">
      <c r="B34" t="s">
        <v>262</v>
      </c>
      <c r="C34" s="3">
        <f t="shared" ref="C34:K34" si="17">C27-C7</f>
        <v>-119.66666666666666</v>
      </c>
      <c r="D34" s="3">
        <f t="shared" si="17"/>
        <v>-69.666666666666657</v>
      </c>
      <c r="E34" s="3">
        <f t="shared" si="17"/>
        <v>13.666666666666686</v>
      </c>
      <c r="F34" s="3">
        <f t="shared" si="17"/>
        <v>97</v>
      </c>
      <c r="G34" s="3">
        <f t="shared" si="17"/>
        <v>180.33333333333337</v>
      </c>
      <c r="H34" s="3">
        <f t="shared" si="17"/>
        <v>263.66666666666669</v>
      </c>
      <c r="I34" s="3">
        <f t="shared" si="17"/>
        <v>347</v>
      </c>
      <c r="J34" s="3">
        <f t="shared" si="17"/>
        <v>430.33333333333337</v>
      </c>
      <c r="K34" s="3">
        <f t="shared" si="17"/>
        <v>513.66666666666674</v>
      </c>
    </row>
    <row r="58" spans="1:11" ht="15.75">
      <c r="A58" s="33" t="s">
        <v>553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</row>
    <row r="59" spans="1:11" ht="15.75">
      <c r="B59" s="33"/>
      <c r="C59" s="33"/>
      <c r="D59" s="33"/>
      <c r="E59" s="33"/>
      <c r="F59" s="33"/>
      <c r="G59" s="33"/>
      <c r="H59" s="33"/>
      <c r="I59" s="33"/>
      <c r="J59" s="33"/>
      <c r="K59" s="33"/>
    </row>
    <row r="60" spans="1:11">
      <c r="C60" t="s">
        <v>553</v>
      </c>
      <c r="D60" t="s">
        <v>553</v>
      </c>
      <c r="E60" t="s">
        <v>553</v>
      </c>
      <c r="F60" t="s">
        <v>553</v>
      </c>
    </row>
    <row r="61" spans="1:11" ht="13.5" thickBot="1"/>
    <row r="62" spans="1:11" ht="16.5" thickTop="1">
      <c r="A62" s="150" t="s">
        <v>285</v>
      </c>
      <c r="B62" s="151"/>
      <c r="C62" s="151"/>
      <c r="D62" s="151"/>
      <c r="E62" s="151"/>
      <c r="F62" s="151"/>
      <c r="G62" s="151"/>
      <c r="H62" s="151"/>
      <c r="I62" s="151"/>
      <c r="J62" s="151"/>
      <c r="K62" s="152"/>
    </row>
    <row r="63" spans="1:11">
      <c r="A63" s="134"/>
      <c r="B63" s="17" t="s">
        <v>583</v>
      </c>
      <c r="C63" s="17"/>
      <c r="D63" s="17"/>
      <c r="E63" s="17"/>
      <c r="F63" s="17"/>
      <c r="G63" s="17"/>
      <c r="H63" s="17"/>
      <c r="I63" s="17"/>
      <c r="J63" s="17"/>
      <c r="K63" s="143"/>
    </row>
    <row r="64" spans="1:11">
      <c r="A64" s="134" t="s">
        <v>59</v>
      </c>
      <c r="B64" s="160" t="s">
        <v>728</v>
      </c>
      <c r="C64" s="17">
        <v>1</v>
      </c>
      <c r="D64" s="17">
        <v>2.5</v>
      </c>
      <c r="E64" s="17">
        <v>5</v>
      </c>
      <c r="F64" s="17">
        <v>7.5</v>
      </c>
      <c r="G64" s="17">
        <v>10</v>
      </c>
      <c r="H64" s="17">
        <v>12.5</v>
      </c>
      <c r="I64" s="17">
        <v>15</v>
      </c>
      <c r="J64" s="17">
        <v>17.5</v>
      </c>
      <c r="K64" s="143">
        <v>20</v>
      </c>
    </row>
    <row r="65" spans="1:11">
      <c r="A65" s="231" t="s">
        <v>35</v>
      </c>
      <c r="B65" s="17" t="s">
        <v>237</v>
      </c>
      <c r="C65" s="17">
        <v>100</v>
      </c>
      <c r="D65" s="17"/>
      <c r="E65" s="17"/>
      <c r="F65" s="17"/>
      <c r="G65" s="17"/>
      <c r="H65" s="17"/>
      <c r="I65" s="17"/>
      <c r="J65" s="17"/>
      <c r="K65" s="143"/>
    </row>
    <row r="66" spans="1:11">
      <c r="A66" s="134" t="s">
        <v>238</v>
      </c>
      <c r="B66" s="17" t="s">
        <v>251</v>
      </c>
      <c r="C66" s="17">
        <v>3</v>
      </c>
      <c r="D66" s="17"/>
      <c r="E66" s="17"/>
      <c r="F66" s="17"/>
      <c r="G66" s="17"/>
      <c r="H66" s="17"/>
      <c r="I66" s="17"/>
      <c r="J66" s="17"/>
      <c r="K66" s="143"/>
    </row>
    <row r="67" spans="1:11" ht="15">
      <c r="A67" s="231" t="s">
        <v>609</v>
      </c>
      <c r="B67" s="17" t="s">
        <v>286</v>
      </c>
      <c r="C67" s="17">
        <v>3</v>
      </c>
      <c r="D67" s="17"/>
      <c r="E67" s="17"/>
      <c r="F67" s="17"/>
      <c r="G67" s="17"/>
      <c r="H67" s="153"/>
      <c r="I67" s="17"/>
      <c r="J67" s="17"/>
      <c r="K67" s="143"/>
    </row>
    <row r="68" spans="1:11">
      <c r="A68" s="134" t="s">
        <v>2</v>
      </c>
      <c r="B68" s="17" t="s">
        <v>249</v>
      </c>
      <c r="C68" s="17">
        <v>0.06</v>
      </c>
      <c r="D68" s="17"/>
      <c r="E68" s="17"/>
      <c r="F68" s="17"/>
      <c r="G68" s="17"/>
      <c r="H68" s="17"/>
      <c r="I68" s="17"/>
      <c r="J68" s="17"/>
      <c r="K68" s="143"/>
    </row>
    <row r="69" spans="1:11">
      <c r="A69" s="134" t="s">
        <v>246</v>
      </c>
      <c r="B69" s="17" t="s">
        <v>250</v>
      </c>
      <c r="C69" s="17">
        <v>0.03</v>
      </c>
      <c r="D69" s="17"/>
      <c r="E69" s="17"/>
      <c r="F69" s="17"/>
      <c r="G69" s="17"/>
      <c r="H69" s="17"/>
      <c r="I69" s="17"/>
      <c r="J69" s="17"/>
      <c r="K69" s="143"/>
    </row>
    <row r="70" spans="1:11">
      <c r="A70" s="134" t="s">
        <v>239</v>
      </c>
      <c r="B70" s="17" t="s">
        <v>501</v>
      </c>
      <c r="C70" s="17">
        <v>0.3</v>
      </c>
      <c r="D70" s="17"/>
      <c r="E70" s="17"/>
      <c r="F70" s="17"/>
      <c r="G70" s="17"/>
      <c r="H70" s="17"/>
      <c r="I70" s="17"/>
      <c r="J70" s="17"/>
      <c r="K70" s="143"/>
    </row>
    <row r="71" spans="1:11">
      <c r="A71" s="134" t="s">
        <v>553</v>
      </c>
      <c r="B71" s="17" t="s">
        <v>605</v>
      </c>
      <c r="C71" s="17" t="s">
        <v>553</v>
      </c>
      <c r="D71" s="17"/>
      <c r="E71" s="17"/>
      <c r="F71" s="17"/>
      <c r="G71" s="17"/>
      <c r="H71" s="17"/>
      <c r="I71" s="17"/>
      <c r="J71" s="17"/>
      <c r="K71" s="143"/>
    </row>
    <row r="72" spans="1:11" ht="15.75">
      <c r="A72" s="134" t="s">
        <v>546</v>
      </c>
      <c r="B72" s="17" t="s">
        <v>502</v>
      </c>
      <c r="C72" s="47">
        <v>1.3333333333333333</v>
      </c>
      <c r="D72" s="47"/>
      <c r="E72" s="47"/>
      <c r="F72" s="47"/>
      <c r="G72" s="47"/>
      <c r="H72" s="47"/>
      <c r="I72" s="47"/>
      <c r="J72" s="47"/>
      <c r="K72" s="138"/>
    </row>
    <row r="73" spans="1:11" ht="15.75">
      <c r="A73" s="134" t="s">
        <v>547</v>
      </c>
      <c r="B73" s="17" t="s">
        <v>503</v>
      </c>
      <c r="C73" s="47">
        <v>-1</v>
      </c>
      <c r="D73" s="47"/>
      <c r="E73" s="47"/>
      <c r="F73" s="47"/>
      <c r="G73" s="47"/>
      <c r="H73" s="47"/>
      <c r="I73" s="47"/>
      <c r="J73" s="47"/>
      <c r="K73" s="138"/>
    </row>
    <row r="74" spans="1:11">
      <c r="A74" s="134"/>
      <c r="B74" s="17"/>
      <c r="C74" s="47"/>
      <c r="D74" s="47"/>
      <c r="E74" s="47"/>
      <c r="F74" s="47"/>
      <c r="G74" s="47"/>
      <c r="H74" s="47"/>
      <c r="I74" s="47"/>
      <c r="J74" s="47"/>
      <c r="K74" s="138"/>
    </row>
    <row r="75" spans="1:11">
      <c r="A75" s="134" t="s">
        <v>47</v>
      </c>
      <c r="B75" s="17" t="s">
        <v>504</v>
      </c>
      <c r="C75" s="47">
        <v>9.5672480888952727</v>
      </c>
      <c r="D75" s="47">
        <v>32.461883443539101</v>
      </c>
      <c r="E75" s="47">
        <v>81.798820539497527</v>
      </c>
      <c r="F75" s="47">
        <v>140.45441234344028</v>
      </c>
      <c r="G75" s="47">
        <v>206.12011170857224</v>
      </c>
      <c r="H75" s="47">
        <v>277.54519936137194</v>
      </c>
      <c r="I75" s="47">
        <v>353.92294132422955</v>
      </c>
      <c r="J75" s="47">
        <v>434.68144363468093</v>
      </c>
      <c r="K75" s="138">
        <v>516.66666666666674</v>
      </c>
    </row>
    <row r="76" spans="1:11">
      <c r="A76" s="231" t="s">
        <v>508</v>
      </c>
      <c r="B76" s="17" t="s">
        <v>505</v>
      </c>
      <c r="C76" s="47">
        <v>6.6635146834325809</v>
      </c>
      <c r="D76" s="47">
        <v>42.665405873373047</v>
      </c>
      <c r="E76" s="47">
        <v>121.33270293668653</v>
      </c>
      <c r="F76" s="47">
        <v>203.11069084667992</v>
      </c>
      <c r="G76" s="47">
        <v>285.66635146834329</v>
      </c>
      <c r="H76" s="47">
        <v>368.53308117467463</v>
      </c>
      <c r="I76" s="47">
        <v>451.55534542333993</v>
      </c>
      <c r="J76" s="47">
        <v>534.66648655333904</v>
      </c>
      <c r="K76" s="138">
        <v>617.83317573417173</v>
      </c>
    </row>
    <row r="77" spans="1:11">
      <c r="A77" s="134" t="s">
        <v>553</v>
      </c>
      <c r="B77" s="17" t="s">
        <v>553</v>
      </c>
      <c r="C77" s="47" t="s">
        <v>553</v>
      </c>
      <c r="D77" s="47" t="s">
        <v>553</v>
      </c>
      <c r="E77" s="47" t="s">
        <v>553</v>
      </c>
      <c r="F77" s="47" t="s">
        <v>553</v>
      </c>
      <c r="G77" s="47" t="s">
        <v>553</v>
      </c>
      <c r="H77" s="47" t="s">
        <v>553</v>
      </c>
      <c r="I77" s="47" t="s">
        <v>553</v>
      </c>
      <c r="J77" s="47" t="s">
        <v>553</v>
      </c>
      <c r="K77" s="138" t="s">
        <v>553</v>
      </c>
    </row>
    <row r="78" spans="1:11">
      <c r="A78" s="134" t="s">
        <v>561</v>
      </c>
      <c r="B78" s="17" t="s">
        <v>243</v>
      </c>
      <c r="C78" s="47">
        <v>9.5630000000000006</v>
      </c>
      <c r="D78" s="47"/>
      <c r="E78" s="47"/>
      <c r="F78" s="47"/>
      <c r="G78" s="47"/>
      <c r="H78" s="47"/>
      <c r="I78" s="47"/>
      <c r="J78" s="47"/>
      <c r="K78" s="138"/>
    </row>
    <row r="79" spans="1:11">
      <c r="A79" s="134" t="s">
        <v>558</v>
      </c>
      <c r="B79" s="17" t="s">
        <v>244</v>
      </c>
      <c r="C79" s="47">
        <v>23.330181350099249</v>
      </c>
      <c r="D79" s="47"/>
      <c r="E79" s="47"/>
      <c r="F79" s="47"/>
      <c r="G79" s="47"/>
      <c r="H79" s="47"/>
      <c r="I79" s="47"/>
      <c r="J79" s="47"/>
      <c r="K79" s="138"/>
    </row>
    <row r="80" spans="1:11">
      <c r="A80" s="134" t="s">
        <v>506</v>
      </c>
      <c r="B80" s="17" t="s">
        <v>284</v>
      </c>
      <c r="C80" s="47">
        <v>17.723690121031776</v>
      </c>
      <c r="D80" s="47"/>
      <c r="E80" s="47"/>
      <c r="F80" s="47"/>
      <c r="G80" s="47"/>
      <c r="H80" s="47"/>
      <c r="I80" s="47"/>
      <c r="J80" s="47"/>
      <c r="K80" s="138"/>
    </row>
    <row r="81" spans="1:11">
      <c r="A81" s="134" t="s">
        <v>256</v>
      </c>
      <c r="B81" s="17" t="s">
        <v>257</v>
      </c>
      <c r="C81" s="47">
        <v>1.0726986731522379</v>
      </c>
      <c r="D81" s="47"/>
      <c r="E81" s="47"/>
      <c r="F81" s="47"/>
      <c r="G81" s="47"/>
      <c r="H81" s="47"/>
      <c r="I81" s="47"/>
      <c r="J81" s="47"/>
      <c r="K81" s="138"/>
    </row>
    <row r="82" spans="1:11">
      <c r="A82" s="134"/>
      <c r="B82" s="160" t="s">
        <v>730</v>
      </c>
      <c r="C82" s="47">
        <v>-116.66666666666666</v>
      </c>
      <c r="D82" s="47">
        <v>-66.666666666666657</v>
      </c>
      <c r="E82" s="47">
        <v>16.666666666666686</v>
      </c>
      <c r="F82" s="47">
        <v>100</v>
      </c>
      <c r="G82" s="47">
        <v>183.33333333333337</v>
      </c>
      <c r="H82" s="47">
        <v>266.66666666666669</v>
      </c>
      <c r="I82" s="47">
        <v>350</v>
      </c>
      <c r="J82" s="47">
        <v>433.33333333333337</v>
      </c>
      <c r="K82" s="138">
        <v>516.66666666666674</v>
      </c>
    </row>
    <row r="83" spans="1:11" ht="13.5" thickBot="1">
      <c r="A83" s="144"/>
      <c r="B83" s="145" t="s">
        <v>263</v>
      </c>
      <c r="C83" s="147">
        <v>9.5672480888952727</v>
      </c>
      <c r="D83" s="147">
        <v>32.461883443539101</v>
      </c>
      <c r="E83" s="147">
        <v>65.132153872830841</v>
      </c>
      <c r="F83" s="147">
        <v>40.454412343440282</v>
      </c>
      <c r="G83" s="147">
        <v>22.786778375238868</v>
      </c>
      <c r="H83" s="147">
        <v>10.878532694705257</v>
      </c>
      <c r="I83" s="147">
        <v>3.922941324229555</v>
      </c>
      <c r="J83" s="147">
        <v>1.3481103013475604</v>
      </c>
      <c r="K83" s="148">
        <v>0</v>
      </c>
    </row>
    <row r="84" spans="1:11" ht="13.5" thickTop="1"/>
  </sheetData>
  <phoneticPr fontId="8" type="noConversion"/>
  <pageMargins left="0.75" right="0.75" top="1" bottom="1" header="0.5" footer="0.5"/>
  <pageSetup orientation="portrait" horizontalDpi="4294967293" verticalDpi="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L33"/>
  <sheetViews>
    <sheetView topLeftCell="A31" workbookViewId="0">
      <selection activeCell="C31" sqref="C31"/>
    </sheetView>
  </sheetViews>
  <sheetFormatPr defaultRowHeight="12.75"/>
  <cols>
    <col min="2" max="2" width="36.85546875" bestFit="1" customWidth="1"/>
    <col min="3" max="3" width="9.28515625" bestFit="1" customWidth="1"/>
    <col min="4" max="7" width="9.5703125" bestFit="1" customWidth="1"/>
    <col min="8" max="9" width="9.28515625" bestFit="1" customWidth="1"/>
    <col min="10" max="11" width="9.5703125" bestFit="1" customWidth="1"/>
  </cols>
  <sheetData>
    <row r="1" spans="1:11">
      <c r="A1" s="129" t="s">
        <v>548</v>
      </c>
      <c r="B1" s="129"/>
      <c r="C1" s="129"/>
      <c r="D1" s="103"/>
      <c r="E1" s="103"/>
      <c r="F1" s="103"/>
      <c r="G1" s="103"/>
      <c r="H1" s="103"/>
      <c r="I1" s="103"/>
      <c r="J1" s="103"/>
      <c r="K1" s="103"/>
    </row>
    <row r="2" spans="1:11" ht="13.5" thickBot="1">
      <c r="C2" s="130" t="s">
        <v>553</v>
      </c>
      <c r="D2" s="130" t="s">
        <v>553</v>
      </c>
      <c r="E2" s="130" t="s">
        <v>553</v>
      </c>
      <c r="F2" s="130" t="s">
        <v>553</v>
      </c>
    </row>
    <row r="3" spans="1:11" ht="13.5" thickTop="1">
      <c r="A3" s="131"/>
      <c r="B3" s="132" t="s">
        <v>583</v>
      </c>
      <c r="C3" s="132"/>
      <c r="D3" s="132"/>
      <c r="E3" s="132"/>
      <c r="F3" s="132"/>
      <c r="G3" s="132"/>
      <c r="H3" s="132"/>
      <c r="I3" s="132"/>
      <c r="J3" s="132"/>
      <c r="K3" s="133"/>
    </row>
    <row r="4" spans="1:11">
      <c r="A4" s="134" t="s">
        <v>59</v>
      </c>
      <c r="B4" s="17" t="s">
        <v>258</v>
      </c>
      <c r="C4" s="14">
        <v>5</v>
      </c>
      <c r="D4" s="14">
        <f>C4</f>
        <v>5</v>
      </c>
      <c r="E4" s="14">
        <f t="shared" ref="E4:K4" si="0">D4</f>
        <v>5</v>
      </c>
      <c r="F4" s="14">
        <f t="shared" si="0"/>
        <v>5</v>
      </c>
      <c r="G4" s="14">
        <f t="shared" si="0"/>
        <v>5</v>
      </c>
      <c r="H4" s="14">
        <f t="shared" si="0"/>
        <v>5</v>
      </c>
      <c r="I4" s="14">
        <f t="shared" si="0"/>
        <v>5</v>
      </c>
      <c r="J4" s="14">
        <f t="shared" si="0"/>
        <v>5</v>
      </c>
      <c r="K4" s="14">
        <f t="shared" si="0"/>
        <v>5</v>
      </c>
    </row>
    <row r="5" spans="1:11">
      <c r="A5" s="134" t="s">
        <v>0</v>
      </c>
      <c r="B5" s="17" t="s">
        <v>237</v>
      </c>
      <c r="C5" s="14">
        <v>100</v>
      </c>
      <c r="D5" s="14">
        <f t="shared" ref="D5:K9" si="1">C5</f>
        <v>100</v>
      </c>
      <c r="E5" s="14">
        <f t="shared" si="1"/>
        <v>100</v>
      </c>
      <c r="F5" s="14">
        <f t="shared" si="1"/>
        <v>100</v>
      </c>
      <c r="G5" s="14">
        <f t="shared" si="1"/>
        <v>100</v>
      </c>
      <c r="H5" s="14">
        <f t="shared" si="1"/>
        <v>100</v>
      </c>
      <c r="I5" s="14">
        <f t="shared" si="1"/>
        <v>100</v>
      </c>
      <c r="J5" s="14">
        <f t="shared" si="1"/>
        <v>100</v>
      </c>
      <c r="K5" s="136">
        <f t="shared" si="1"/>
        <v>100</v>
      </c>
    </row>
    <row r="6" spans="1:11">
      <c r="A6" s="134" t="s">
        <v>238</v>
      </c>
      <c r="B6" s="17" t="s">
        <v>251</v>
      </c>
      <c r="C6" s="14">
        <v>3</v>
      </c>
      <c r="D6" s="14">
        <f t="shared" si="1"/>
        <v>3</v>
      </c>
      <c r="E6" s="14">
        <f t="shared" si="1"/>
        <v>3</v>
      </c>
      <c r="F6" s="14">
        <f t="shared" si="1"/>
        <v>3</v>
      </c>
      <c r="G6" s="14">
        <f t="shared" si="1"/>
        <v>3</v>
      </c>
      <c r="H6" s="14">
        <f t="shared" si="1"/>
        <v>3</v>
      </c>
      <c r="I6" s="14">
        <f t="shared" si="1"/>
        <v>3</v>
      </c>
      <c r="J6" s="14">
        <f t="shared" si="1"/>
        <v>3</v>
      </c>
      <c r="K6" s="136">
        <f t="shared" si="1"/>
        <v>3</v>
      </c>
    </row>
    <row r="7" spans="1:11">
      <c r="A7" s="134" t="s">
        <v>693</v>
      </c>
      <c r="B7" s="17" t="s">
        <v>264</v>
      </c>
      <c r="C7" s="137">
        <v>3</v>
      </c>
      <c r="D7" s="14">
        <f t="shared" si="1"/>
        <v>3</v>
      </c>
      <c r="E7" s="14">
        <f t="shared" si="1"/>
        <v>3</v>
      </c>
      <c r="F7" s="14">
        <f t="shared" si="1"/>
        <v>3</v>
      </c>
      <c r="G7" s="14">
        <f t="shared" si="1"/>
        <v>3</v>
      </c>
      <c r="H7" s="14">
        <f t="shared" si="1"/>
        <v>3</v>
      </c>
      <c r="I7" s="14">
        <f t="shared" si="1"/>
        <v>3</v>
      </c>
      <c r="J7" s="14">
        <f t="shared" si="1"/>
        <v>3</v>
      </c>
      <c r="K7" s="136">
        <f t="shared" si="1"/>
        <v>3</v>
      </c>
    </row>
    <row r="8" spans="1:11">
      <c r="A8" s="134" t="s">
        <v>2</v>
      </c>
      <c r="B8" s="17" t="s">
        <v>249</v>
      </c>
      <c r="C8" s="137">
        <v>0.06</v>
      </c>
      <c r="D8" s="14">
        <f t="shared" si="1"/>
        <v>0.06</v>
      </c>
      <c r="E8" s="14">
        <f t="shared" si="1"/>
        <v>0.06</v>
      </c>
      <c r="F8" s="14">
        <f t="shared" si="1"/>
        <v>0.06</v>
      </c>
      <c r="G8" s="14">
        <f t="shared" si="1"/>
        <v>0.06</v>
      </c>
      <c r="H8" s="14">
        <f t="shared" si="1"/>
        <v>0.06</v>
      </c>
      <c r="I8" s="14">
        <f t="shared" si="1"/>
        <v>0.06</v>
      </c>
      <c r="J8" s="14">
        <f t="shared" si="1"/>
        <v>0.06</v>
      </c>
      <c r="K8" s="136">
        <f t="shared" si="1"/>
        <v>0.06</v>
      </c>
    </row>
    <row r="9" spans="1:11">
      <c r="A9" s="134" t="s">
        <v>246</v>
      </c>
      <c r="B9" s="100" t="s">
        <v>250</v>
      </c>
      <c r="C9" s="137">
        <v>0.03</v>
      </c>
      <c r="D9" s="14">
        <f t="shared" si="1"/>
        <v>0.03</v>
      </c>
      <c r="E9" s="14">
        <f t="shared" si="1"/>
        <v>0.03</v>
      </c>
      <c r="F9" s="14">
        <f t="shared" si="1"/>
        <v>0.03</v>
      </c>
      <c r="G9" s="14">
        <f t="shared" si="1"/>
        <v>0.03</v>
      </c>
      <c r="H9" s="14">
        <f t="shared" si="1"/>
        <v>0.03</v>
      </c>
      <c r="I9" s="14">
        <f t="shared" si="1"/>
        <v>0.03</v>
      </c>
      <c r="J9" s="14">
        <f t="shared" si="1"/>
        <v>0.03</v>
      </c>
      <c r="K9" s="136">
        <f t="shared" si="1"/>
        <v>0.03</v>
      </c>
    </row>
    <row r="10" spans="1:11">
      <c r="A10" s="134" t="s">
        <v>239</v>
      </c>
      <c r="B10" s="135" t="s">
        <v>252</v>
      </c>
      <c r="C10" s="154">
        <v>0.1</v>
      </c>
      <c r="D10" s="123">
        <f>C10+0.05</f>
        <v>0.15000000000000002</v>
      </c>
      <c r="E10" s="123">
        <f t="shared" ref="E10:K10" si="2">D10+0.05</f>
        <v>0.2</v>
      </c>
      <c r="F10" s="123">
        <f t="shared" si="2"/>
        <v>0.25</v>
      </c>
      <c r="G10" s="123">
        <f t="shared" si="2"/>
        <v>0.3</v>
      </c>
      <c r="H10" s="123">
        <f t="shared" si="2"/>
        <v>0.35</v>
      </c>
      <c r="I10" s="123">
        <f t="shared" si="2"/>
        <v>0.39999999999999997</v>
      </c>
      <c r="J10" s="123">
        <f t="shared" si="2"/>
        <v>0.44999999999999996</v>
      </c>
      <c r="K10" s="124">
        <f t="shared" si="2"/>
        <v>0.49999999999999994</v>
      </c>
    </row>
    <row r="11" spans="1:11" ht="13.5" thickBot="1">
      <c r="A11" s="134" t="s">
        <v>553</v>
      </c>
      <c r="B11" s="100" t="s">
        <v>605</v>
      </c>
      <c r="C11" s="17" t="s">
        <v>553</v>
      </c>
      <c r="D11" s="47" t="s">
        <v>553</v>
      </c>
      <c r="E11" s="47" t="s">
        <v>553</v>
      </c>
      <c r="F11" s="47" t="s">
        <v>553</v>
      </c>
      <c r="G11" s="47" t="s">
        <v>553</v>
      </c>
      <c r="H11" s="47" t="s">
        <v>553</v>
      </c>
      <c r="I11" s="47" t="s">
        <v>553</v>
      </c>
      <c r="J11" s="47" t="s">
        <v>553</v>
      </c>
      <c r="K11" s="138" t="s">
        <v>553</v>
      </c>
    </row>
    <row r="12" spans="1:11" ht="13.5" thickTop="1">
      <c r="A12" s="134" t="s">
        <v>240</v>
      </c>
      <c r="B12" s="17" t="s">
        <v>253</v>
      </c>
      <c r="C12" s="139">
        <f t="shared" ref="C12:K12" si="3">0.5-((C8-C9)/(C10^2))+SQRT(((((C8-C9)/(C10^2))-0.5)^2)+(2*(C8/(C10^2))))</f>
        <v>1.7720018726587661</v>
      </c>
      <c r="D12" s="140">
        <f t="shared" si="3"/>
        <v>1.6218199771093726</v>
      </c>
      <c r="E12" s="140">
        <f t="shared" si="3"/>
        <v>1.5</v>
      </c>
      <c r="F12" s="140">
        <f t="shared" si="3"/>
        <v>1.4057849761056005</v>
      </c>
      <c r="G12" s="140">
        <f t="shared" si="3"/>
        <v>1.3333333333333333</v>
      </c>
      <c r="H12" s="140">
        <f t="shared" si="3"/>
        <v>1.2771924908075925</v>
      </c>
      <c r="I12" s="140">
        <f t="shared" si="3"/>
        <v>1.2331824914160148</v>
      </c>
      <c r="J12" s="140">
        <f t="shared" si="3"/>
        <v>1.1982514727426992</v>
      </c>
      <c r="K12" s="141">
        <f t="shared" si="3"/>
        <v>1.1701898506055364</v>
      </c>
    </row>
    <row r="13" spans="1:11">
      <c r="A13" s="134" t="s">
        <v>241</v>
      </c>
      <c r="B13" s="17" t="s">
        <v>254</v>
      </c>
      <c r="C13" s="142">
        <f t="shared" ref="C13:K13" si="4">0.5-((C8-C9)/(C10^2))-SQRT(((((C8-C9)/(C10^2))-0.5)^2)+(2*(C8/(C10^2))))</f>
        <v>-6.7720018726587643</v>
      </c>
      <c r="D13" s="47">
        <f t="shared" si="4"/>
        <v>-3.2884866437760385</v>
      </c>
      <c r="E13" s="47">
        <f t="shared" si="4"/>
        <v>-1.9999999999999996</v>
      </c>
      <c r="F13" s="47">
        <f t="shared" si="4"/>
        <v>-1.3657849761056005</v>
      </c>
      <c r="G13" s="47">
        <f t="shared" si="4"/>
        <v>-0.99999999999999978</v>
      </c>
      <c r="H13" s="47">
        <f t="shared" si="4"/>
        <v>-0.76698840917493949</v>
      </c>
      <c r="I13" s="47">
        <f t="shared" si="4"/>
        <v>-0.60818249141601477</v>
      </c>
      <c r="J13" s="47">
        <f t="shared" si="4"/>
        <v>-0.49454776903899555</v>
      </c>
      <c r="K13" s="138">
        <f t="shared" si="4"/>
        <v>-0.41018985060553648</v>
      </c>
    </row>
    <row r="14" spans="1:11">
      <c r="A14" s="134"/>
      <c r="B14" s="17"/>
      <c r="C14" s="142"/>
      <c r="D14" s="47"/>
      <c r="E14" s="47"/>
      <c r="F14" s="47"/>
      <c r="G14" s="47"/>
      <c r="H14" s="47"/>
      <c r="I14" s="47"/>
      <c r="J14" s="47"/>
      <c r="K14" s="138"/>
    </row>
    <row r="15" spans="1:11">
      <c r="A15" s="134" t="s">
        <v>47</v>
      </c>
      <c r="B15" s="17" t="s">
        <v>255</v>
      </c>
      <c r="C15" s="142">
        <f t="shared" ref="C15:K15" si="5">C18*(C4^C12)</f>
        <v>53.719975802777675</v>
      </c>
      <c r="D15" s="47">
        <f t="shared" si="5"/>
        <v>60.45404399759596</v>
      </c>
      <c r="E15" s="47">
        <f t="shared" si="5"/>
        <v>67.646831095879946</v>
      </c>
      <c r="F15" s="47">
        <f t="shared" si="5"/>
        <v>74.840439144528261</v>
      </c>
      <c r="G15" s="47">
        <f t="shared" si="5"/>
        <v>81.79892352749097</v>
      </c>
      <c r="H15" s="47">
        <f t="shared" si="5"/>
        <v>88.384243940103701</v>
      </c>
      <c r="I15" s="47">
        <f t="shared" si="5"/>
        <v>94.522068356407303</v>
      </c>
      <c r="J15" s="47">
        <f t="shared" si="5"/>
        <v>100.18035974059865</v>
      </c>
      <c r="K15" s="138">
        <f t="shared" si="5"/>
        <v>105.1873524282227</v>
      </c>
    </row>
    <row r="16" spans="1:11">
      <c r="A16" s="134" t="s">
        <v>48</v>
      </c>
      <c r="B16" s="17" t="s">
        <v>242</v>
      </c>
      <c r="C16" s="142">
        <f t="shared" ref="C16:K16" si="6">C19*(C4^C13)+(C4/C9)-(C6/C8)</f>
        <v>116.66774677459082</v>
      </c>
      <c r="D16" s="47">
        <f t="shared" si="6"/>
        <v>116.79161939515285</v>
      </c>
      <c r="E16" s="47">
        <f t="shared" si="6"/>
        <v>117.52921006572095</v>
      </c>
      <c r="F16" s="47">
        <f t="shared" si="6"/>
        <v>119.10496279084634</v>
      </c>
      <c r="G16" s="47">
        <f t="shared" si="6"/>
        <v>121.33259342227169</v>
      </c>
      <c r="H16" s="47">
        <f t="shared" si="6"/>
        <v>123.93708242806309</v>
      </c>
      <c r="I16" s="47">
        <f t="shared" si="6"/>
        <v>126.692038585852</v>
      </c>
      <c r="J16" s="47">
        <f t="shared" si="6"/>
        <v>129.44363782315955</v>
      </c>
      <c r="K16" s="138">
        <f t="shared" si="6"/>
        <v>132.08555923463831</v>
      </c>
    </row>
    <row r="17" spans="1:12">
      <c r="A17" s="134" t="s">
        <v>553</v>
      </c>
      <c r="B17" s="17" t="s">
        <v>553</v>
      </c>
      <c r="C17" s="142" t="s">
        <v>553</v>
      </c>
      <c r="D17" s="47" t="s">
        <v>553</v>
      </c>
      <c r="E17" s="47" t="s">
        <v>553</v>
      </c>
      <c r="F17" s="47" t="s">
        <v>553</v>
      </c>
      <c r="G17" s="47" t="s">
        <v>553</v>
      </c>
      <c r="H17" s="47" t="s">
        <v>553</v>
      </c>
      <c r="I17" s="47" t="s">
        <v>553</v>
      </c>
      <c r="J17" s="47" t="s">
        <v>553</v>
      </c>
      <c r="K17" s="138" t="s">
        <v>553</v>
      </c>
    </row>
    <row r="18" spans="1:12">
      <c r="A18" s="134" t="s">
        <v>561</v>
      </c>
      <c r="B18" s="100" t="s">
        <v>243</v>
      </c>
      <c r="C18" s="47">
        <v>3.1014133484961905</v>
      </c>
      <c r="D18" s="47">
        <v>4.4444890578502587</v>
      </c>
      <c r="E18" s="47">
        <v>6.0505165117133677</v>
      </c>
      <c r="F18" s="47">
        <v>7.7899522631018394</v>
      </c>
      <c r="G18" s="47">
        <v>9.5672601344440587</v>
      </c>
      <c r="H18" s="47">
        <v>11.315027410831393</v>
      </c>
      <c r="I18" s="47">
        <v>12.988997853663852</v>
      </c>
      <c r="J18" s="47">
        <v>14.562661334131839</v>
      </c>
      <c r="K18" s="47">
        <v>15.996903283073266</v>
      </c>
    </row>
    <row r="19" spans="1:12">
      <c r="A19" s="134" t="s">
        <v>558</v>
      </c>
      <c r="B19" s="100" t="s">
        <v>244</v>
      </c>
      <c r="C19" s="47">
        <v>58.464646828980648</v>
      </c>
      <c r="D19" s="47">
        <v>24.848447946494375</v>
      </c>
      <c r="E19" s="47">
        <v>21.56358497635631</v>
      </c>
      <c r="F19" s="47">
        <v>21.964897400853808</v>
      </c>
      <c r="G19" s="47">
        <v>23.32963377802497</v>
      </c>
      <c r="H19" s="47">
        <v>24.983952097994173</v>
      </c>
      <c r="I19" s="47">
        <v>26.680982108641352</v>
      </c>
      <c r="J19" s="47">
        <v>28.32056873720634</v>
      </c>
      <c r="K19" s="47">
        <v>29.837579154539625</v>
      </c>
    </row>
    <row r="20" spans="1:12">
      <c r="A20" s="134" t="s">
        <v>49</v>
      </c>
      <c r="B20" s="17" t="s">
        <v>245</v>
      </c>
      <c r="C20" s="47">
        <v>10.328998769052095</v>
      </c>
      <c r="D20" s="47">
        <v>11.735031101000333</v>
      </c>
      <c r="E20" s="47">
        <v>13.47417368632065</v>
      </c>
      <c r="F20" s="47">
        <v>15.482991373890586</v>
      </c>
      <c r="G20" s="47">
        <v>17.722996011349654</v>
      </c>
      <c r="H20" s="47">
        <v>20.181892972291017</v>
      </c>
      <c r="I20" s="47">
        <v>22.85593937614918</v>
      </c>
      <c r="J20" s="47">
        <v>25.742375054409965</v>
      </c>
      <c r="K20" s="47">
        <v>25.456997389573356</v>
      </c>
    </row>
    <row r="21" spans="1:12">
      <c r="A21" s="134" t="s">
        <v>256</v>
      </c>
      <c r="B21" s="17" t="s">
        <v>257</v>
      </c>
      <c r="C21" s="47">
        <v>1.418660393272265</v>
      </c>
      <c r="D21" s="47">
        <v>1.3210031694081357</v>
      </c>
      <c r="E21" s="47">
        <v>1.2282214085954404</v>
      </c>
      <c r="F21" s="47">
        <v>1.1452953240067703</v>
      </c>
      <c r="G21" s="47">
        <v>1.0726662582846316</v>
      </c>
      <c r="H21" s="47">
        <v>1.0095907968542452</v>
      </c>
      <c r="I21" s="47">
        <v>0.95451042005048081</v>
      </c>
      <c r="J21" s="47">
        <v>0.90646932095970711</v>
      </c>
      <c r="K21" s="47">
        <v>0.86245097926783709</v>
      </c>
    </row>
    <row r="22" spans="1:12">
      <c r="A22" s="134"/>
      <c r="B22" s="17"/>
      <c r="C22" s="134"/>
      <c r="D22" s="17"/>
      <c r="E22" s="17"/>
      <c r="F22" s="17"/>
      <c r="G22" s="17"/>
      <c r="H22" s="17"/>
      <c r="I22" s="17"/>
      <c r="J22" s="17"/>
      <c r="K22" s="143"/>
    </row>
    <row r="23" spans="1:12">
      <c r="A23" s="134"/>
      <c r="B23" s="17" t="s">
        <v>61</v>
      </c>
      <c r="C23" s="142">
        <f t="shared" ref="C23:K23" si="7">(-C18*(C20^C12))+(C19*(C20^C13))+(C20/C9)-(C6/C8)-C5</f>
        <v>0</v>
      </c>
      <c r="D23" s="47">
        <f t="shared" si="7"/>
        <v>0</v>
      </c>
      <c r="E23" s="47">
        <f t="shared" si="7"/>
        <v>-3.0807676751010149E-5</v>
      </c>
      <c r="F23" s="47">
        <f t="shared" si="7"/>
        <v>1.537997566060767E-3</v>
      </c>
      <c r="G23" s="47">
        <f t="shared" si="7"/>
        <v>-7.1485931925963087E-5</v>
      </c>
      <c r="H23" s="47">
        <f t="shared" si="7"/>
        <v>7.5334822622608044E-4</v>
      </c>
      <c r="I23" s="47">
        <f>(-I18*(I20^I12))+(I19*(I20^I13))+(I20/I9)-(I6/I8)-I5</f>
        <v>5.1408333160907205E-4</v>
      </c>
      <c r="J23" s="47">
        <f t="shared" si="7"/>
        <v>2.1476479935245152E-4</v>
      </c>
      <c r="K23" s="138">
        <f t="shared" si="7"/>
        <v>-1.9769123230162222E-4</v>
      </c>
    </row>
    <row r="24" spans="1:12">
      <c r="A24" s="134"/>
      <c r="B24" s="17" t="s">
        <v>62</v>
      </c>
      <c r="C24" s="142">
        <f t="shared" ref="C24:K24" si="8">(-C12*C18*(C20^(C12-1)))+(C13*C19*(C20^(C13-1)))+(1/C9)</f>
        <v>0</v>
      </c>
      <c r="D24" s="47">
        <f t="shared" si="8"/>
        <v>0</v>
      </c>
      <c r="E24" s="47">
        <f t="shared" si="8"/>
        <v>1.0900742041499711E-3</v>
      </c>
      <c r="F24" s="47">
        <f t="shared" si="8"/>
        <v>6.829845640510257E-5</v>
      </c>
      <c r="G24" s="47">
        <f t="shared" si="8"/>
        <v>3.525173744023391E-4</v>
      </c>
      <c r="H24" s="47">
        <f t="shared" si="8"/>
        <v>3.7100917046473114E-4</v>
      </c>
      <c r="I24" s="47">
        <f t="shared" si="8"/>
        <v>-3.2164490235686571E-5</v>
      </c>
      <c r="J24" s="47">
        <f t="shared" si="8"/>
        <v>1.8456968489743986E-4</v>
      </c>
      <c r="K24" s="138">
        <f t="shared" si="8"/>
        <v>0.73110631302431983</v>
      </c>
    </row>
    <row r="25" spans="1:12">
      <c r="A25" s="134"/>
      <c r="B25" s="17" t="s">
        <v>63</v>
      </c>
      <c r="C25" s="142">
        <f t="shared" ref="C25:K25" si="9">(-C18*(C21^C12))+(C19*(C21^C13))+(C21/C9)-(C6/C8)+C7</f>
        <v>0</v>
      </c>
      <c r="D25" s="47">
        <f t="shared" si="9"/>
        <v>0</v>
      </c>
      <c r="E25" s="47">
        <f t="shared" si="9"/>
        <v>-6.6153430968540761E-4</v>
      </c>
      <c r="F25" s="47">
        <f t="shared" si="9"/>
        <v>-2.9555049401608358E-4</v>
      </c>
      <c r="G25" s="47">
        <f t="shared" si="9"/>
        <v>-5.2385119222719823E-4</v>
      </c>
      <c r="H25" s="47">
        <f t="shared" si="9"/>
        <v>9.2725643931856894E-4</v>
      </c>
      <c r="I25" s="47">
        <f t="shared" si="9"/>
        <v>-1.2922931347247868E-7</v>
      </c>
      <c r="J25" s="47">
        <f t="shared" si="9"/>
        <v>-5.9665977035194828E-4</v>
      </c>
      <c r="K25" s="138">
        <f t="shared" si="9"/>
        <v>-2.8814999730997215E-4</v>
      </c>
    </row>
    <row r="26" spans="1:12" ht="13.5" thickBot="1">
      <c r="A26" s="134"/>
      <c r="B26" s="17" t="s">
        <v>64</v>
      </c>
      <c r="C26" s="146">
        <f t="shared" ref="C26:K26" si="10">(-C12*C18*(C21^(C12-1)))+(C13*C19*(C21^(C13-1)))+(1/C9)</f>
        <v>0</v>
      </c>
      <c r="D26" s="147">
        <f t="shared" si="10"/>
        <v>0</v>
      </c>
      <c r="E26" s="147">
        <f t="shared" si="10"/>
        <v>-1.5842606186069474E-3</v>
      </c>
      <c r="F26" s="147">
        <f t="shared" si="10"/>
        <v>-7.4985951770401016E-4</v>
      </c>
      <c r="G26" s="147">
        <f t="shared" si="10"/>
        <v>-6.347189395015107E-4</v>
      </c>
      <c r="H26" s="147">
        <f t="shared" si="10"/>
        <v>1.6611414017049242E-3</v>
      </c>
      <c r="I26" s="147">
        <f t="shared" si="10"/>
        <v>-2.9643678800539419E-7</v>
      </c>
      <c r="J26" s="147">
        <f t="shared" si="10"/>
        <v>1.3272028574107253E-4</v>
      </c>
      <c r="K26" s="148">
        <f t="shared" si="10"/>
        <v>3.746622568101543E-4</v>
      </c>
    </row>
    <row r="27" spans="1:12" ht="15.75" thickTop="1">
      <c r="A27" s="155" t="s">
        <v>553</v>
      </c>
      <c r="B27" s="100" t="s">
        <v>553</v>
      </c>
      <c r="C27" s="47" t="s">
        <v>553</v>
      </c>
      <c r="D27" s="47" t="s">
        <v>553</v>
      </c>
      <c r="E27" s="47" t="s">
        <v>553</v>
      </c>
      <c r="F27" s="47" t="s">
        <v>553</v>
      </c>
      <c r="G27" s="47" t="s">
        <v>553</v>
      </c>
      <c r="H27" s="47" t="s">
        <v>553</v>
      </c>
      <c r="I27" s="47" t="s">
        <v>553</v>
      </c>
      <c r="J27" s="47" t="s">
        <v>553</v>
      </c>
      <c r="K27" s="138" t="s">
        <v>553</v>
      </c>
    </row>
    <row r="28" spans="1:12">
      <c r="B28" s="100" t="s">
        <v>50</v>
      </c>
      <c r="C28" s="156">
        <f t="array" ref="C28">SUM(ABS(C23:C26))</f>
        <v>0</v>
      </c>
      <c r="D28" s="156">
        <f t="array" ref="D28">SUM(ABS(D23:D26))</f>
        <v>0</v>
      </c>
      <c r="E28" s="156">
        <f t="array" ref="E28">SUM(ABS(E23:E26))</f>
        <v>3.3666768091933363E-3</v>
      </c>
      <c r="F28" s="156">
        <f t="array" ref="F28">SUM(ABS(F23:F26))</f>
        <v>2.6517060341859633E-3</v>
      </c>
      <c r="G28" s="156">
        <f t="array" ref="G28">SUM(ABS(G23:G26))</f>
        <v>1.5825734380570111E-3</v>
      </c>
      <c r="H28" s="156">
        <f t="array" ref="H28">SUM(ABS(H23:H26))</f>
        <v>3.7127552377143047E-3</v>
      </c>
      <c r="I28" s="156">
        <f t="array" ref="I28">SUM(ABS(I23:I26))</f>
        <v>5.4667348794623649E-4</v>
      </c>
      <c r="J28" s="156">
        <f t="array" ref="J28">SUM(ABS(J23:J26))</f>
        <v>1.1287145403429122E-3</v>
      </c>
      <c r="K28" s="156">
        <f t="array" ref="K28">SUM(ABS(K23:K26))</f>
        <v>0.73196681651074158</v>
      </c>
      <c r="L28">
        <f t="array" ref="L28">SUM(ABS(C28:K28))</f>
        <v>0.74495591605818134</v>
      </c>
    </row>
    <row r="29" spans="1:12">
      <c r="B29" t="s">
        <v>260</v>
      </c>
      <c r="C29" s="47">
        <f t="shared" ref="C29:K29" si="11">C15</f>
        <v>53.719975802777675</v>
      </c>
      <c r="D29" s="47">
        <f t="shared" si="11"/>
        <v>60.45404399759596</v>
      </c>
      <c r="E29" s="47">
        <f t="shared" si="11"/>
        <v>67.646831095879946</v>
      </c>
      <c r="F29" s="47">
        <f t="shared" si="11"/>
        <v>74.840439144528261</v>
      </c>
      <c r="G29" s="47">
        <f t="shared" si="11"/>
        <v>81.79892352749097</v>
      </c>
      <c r="H29" s="47">
        <f t="shared" si="11"/>
        <v>88.384243940103701</v>
      </c>
      <c r="I29" s="47">
        <f t="shared" si="11"/>
        <v>94.522068356407303</v>
      </c>
      <c r="J29" s="47">
        <f t="shared" si="11"/>
        <v>100.18035974059865</v>
      </c>
      <c r="K29" s="47">
        <f t="shared" si="11"/>
        <v>105.1873524282227</v>
      </c>
    </row>
    <row r="30" spans="1:12">
      <c r="B30" t="s">
        <v>259</v>
      </c>
      <c r="C30" s="47">
        <f t="shared" ref="C30:K30" si="12">C19*(C4^C13)</f>
        <v>1.0801079241358324E-3</v>
      </c>
      <c r="D30" s="47">
        <f t="shared" si="12"/>
        <v>0.1249527284861531</v>
      </c>
      <c r="E30" s="47">
        <f t="shared" si="12"/>
        <v>0.86254339905425337</v>
      </c>
      <c r="F30" s="47">
        <f t="shared" si="12"/>
        <v>2.4382961241796473</v>
      </c>
      <c r="G30" s="47">
        <f t="shared" si="12"/>
        <v>4.6659267556049961</v>
      </c>
      <c r="H30" s="47">
        <f t="shared" si="12"/>
        <v>7.2704157613963938</v>
      </c>
      <c r="I30" s="47">
        <f t="shared" si="12"/>
        <v>10.025371919185332</v>
      </c>
      <c r="J30" s="47">
        <f t="shared" si="12"/>
        <v>12.776971156492859</v>
      </c>
      <c r="K30" s="47">
        <f t="shared" si="12"/>
        <v>15.418892567971616</v>
      </c>
    </row>
    <row r="31" spans="1:12">
      <c r="B31" t="s">
        <v>261</v>
      </c>
      <c r="C31" s="47">
        <f t="shared" ref="C31:K31" si="13">C33-C5</f>
        <v>16.666666666666686</v>
      </c>
      <c r="D31" s="47">
        <f t="shared" si="13"/>
        <v>16.666666666666686</v>
      </c>
      <c r="E31" s="47">
        <f t="shared" si="13"/>
        <v>16.666666666666686</v>
      </c>
      <c r="F31" s="47">
        <f t="shared" si="13"/>
        <v>16.666666666666686</v>
      </c>
      <c r="G31" s="47">
        <f t="shared" si="13"/>
        <v>16.666666666666686</v>
      </c>
      <c r="H31" s="47">
        <f t="shared" si="13"/>
        <v>16.666666666666686</v>
      </c>
      <c r="I31" s="47">
        <f t="shared" si="13"/>
        <v>16.666666666666686</v>
      </c>
      <c r="J31" s="47">
        <f t="shared" si="13"/>
        <v>16.666666666666686</v>
      </c>
      <c r="K31" s="47">
        <f t="shared" si="13"/>
        <v>16.666666666666686</v>
      </c>
    </row>
    <row r="32" spans="1:12">
      <c r="B32" t="s">
        <v>262</v>
      </c>
      <c r="C32" s="47">
        <f t="shared" ref="C32:K32" si="14">C33-C7</f>
        <v>113.66666666666669</v>
      </c>
      <c r="D32" s="47">
        <f t="shared" si="14"/>
        <v>113.66666666666669</v>
      </c>
      <c r="E32" s="47">
        <f t="shared" si="14"/>
        <v>113.66666666666669</v>
      </c>
      <c r="F32" s="47">
        <f t="shared" si="14"/>
        <v>113.66666666666669</v>
      </c>
      <c r="G32" s="47">
        <f t="shared" si="14"/>
        <v>113.66666666666669</v>
      </c>
      <c r="H32" s="47">
        <f t="shared" si="14"/>
        <v>113.66666666666669</v>
      </c>
      <c r="I32" s="47">
        <f t="shared" si="14"/>
        <v>113.66666666666669</v>
      </c>
      <c r="J32" s="47">
        <f t="shared" si="14"/>
        <v>113.66666666666669</v>
      </c>
      <c r="K32" s="47">
        <f t="shared" si="14"/>
        <v>113.66666666666669</v>
      </c>
    </row>
    <row r="33" spans="2:11">
      <c r="B33" t="s">
        <v>129</v>
      </c>
      <c r="C33" s="47">
        <f t="shared" ref="C33:K33" si="15">(C4/C9)-(C6/C8)</f>
        <v>116.66666666666669</v>
      </c>
      <c r="D33" s="47">
        <f t="shared" si="15"/>
        <v>116.66666666666669</v>
      </c>
      <c r="E33" s="47">
        <f t="shared" si="15"/>
        <v>116.66666666666669</v>
      </c>
      <c r="F33" s="47">
        <f t="shared" si="15"/>
        <v>116.66666666666669</v>
      </c>
      <c r="G33" s="47">
        <f t="shared" si="15"/>
        <v>116.66666666666669</v>
      </c>
      <c r="H33" s="47">
        <f t="shared" si="15"/>
        <v>116.66666666666669</v>
      </c>
      <c r="I33" s="47">
        <f t="shared" si="15"/>
        <v>116.66666666666669</v>
      </c>
      <c r="J33" s="47">
        <f t="shared" si="15"/>
        <v>116.66666666666669</v>
      </c>
      <c r="K33" s="47">
        <f t="shared" si="15"/>
        <v>116.66666666666669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K41"/>
  <sheetViews>
    <sheetView workbookViewId="0">
      <selection activeCell="K1" sqref="A1:K41"/>
    </sheetView>
  </sheetViews>
  <sheetFormatPr defaultRowHeight="12.75"/>
  <cols>
    <col min="2" max="2" width="38.85546875" bestFit="1" customWidth="1"/>
  </cols>
  <sheetData>
    <row r="1" spans="1:11" ht="15.75">
      <c r="A1" s="233"/>
      <c r="B1" s="234"/>
      <c r="C1" s="235"/>
      <c r="D1" s="235"/>
      <c r="E1" s="236" t="s">
        <v>507</v>
      </c>
      <c r="F1" s="235"/>
      <c r="G1" s="235"/>
      <c r="H1" s="235"/>
      <c r="I1" s="235"/>
      <c r="J1" s="235"/>
      <c r="K1" s="237"/>
    </row>
    <row r="2" spans="1:11">
      <c r="A2" s="43"/>
      <c r="B2" s="17" t="s">
        <v>583</v>
      </c>
      <c r="C2" s="157"/>
      <c r="D2" s="157"/>
      <c r="E2" s="157"/>
      <c r="F2" s="157"/>
      <c r="G2" s="157"/>
      <c r="H2" s="157"/>
      <c r="I2" s="157"/>
      <c r="J2" s="157"/>
      <c r="K2" s="238"/>
    </row>
    <row r="3" spans="1:11">
      <c r="A3" s="43" t="s">
        <v>59</v>
      </c>
      <c r="B3" s="6" t="s">
        <v>728</v>
      </c>
      <c r="C3" s="123">
        <v>1</v>
      </c>
      <c r="D3" s="123">
        <f>C3+1</f>
        <v>2</v>
      </c>
      <c r="E3" s="123">
        <f t="shared" ref="E3:K3" si="0">D3+1</f>
        <v>3</v>
      </c>
      <c r="F3" s="123">
        <f t="shared" si="0"/>
        <v>4</v>
      </c>
      <c r="G3" s="123">
        <f t="shared" si="0"/>
        <v>5</v>
      </c>
      <c r="H3" s="123">
        <f t="shared" si="0"/>
        <v>6</v>
      </c>
      <c r="I3" s="123">
        <f t="shared" si="0"/>
        <v>7</v>
      </c>
      <c r="J3" s="123">
        <f t="shared" si="0"/>
        <v>8</v>
      </c>
      <c r="K3" s="239">
        <f t="shared" si="0"/>
        <v>9</v>
      </c>
    </row>
    <row r="4" spans="1:11">
      <c r="A4" s="43" t="s">
        <v>35</v>
      </c>
      <c r="B4" s="17" t="s">
        <v>237</v>
      </c>
      <c r="C4" s="14">
        <v>100</v>
      </c>
      <c r="D4" s="17"/>
      <c r="E4" s="17"/>
      <c r="F4" s="17"/>
      <c r="G4" s="17"/>
      <c r="H4" s="17"/>
      <c r="I4" s="17"/>
      <c r="J4" s="17"/>
      <c r="K4" s="44"/>
    </row>
    <row r="5" spans="1:11">
      <c r="A5" s="43" t="s">
        <v>238</v>
      </c>
      <c r="B5" s="17" t="s">
        <v>251</v>
      </c>
      <c r="C5" s="14">
        <v>3</v>
      </c>
      <c r="D5" s="17"/>
      <c r="E5" s="17"/>
      <c r="F5" s="17"/>
      <c r="G5" s="17"/>
      <c r="H5" s="17"/>
      <c r="I5" s="17"/>
      <c r="J5" s="17"/>
      <c r="K5" s="44"/>
    </row>
    <row r="6" spans="1:11">
      <c r="A6" s="43" t="s">
        <v>2</v>
      </c>
      <c r="B6" s="17" t="s">
        <v>249</v>
      </c>
      <c r="C6" s="137">
        <v>0.06</v>
      </c>
      <c r="D6" s="17"/>
      <c r="E6" s="17"/>
      <c r="F6" s="17"/>
      <c r="G6" s="17"/>
      <c r="H6" s="17"/>
      <c r="I6" s="17"/>
      <c r="J6" s="17"/>
      <c r="K6" s="44"/>
    </row>
    <row r="7" spans="1:11">
      <c r="A7" s="43" t="s">
        <v>246</v>
      </c>
      <c r="B7" s="17" t="s">
        <v>250</v>
      </c>
      <c r="C7" s="137">
        <v>0.03</v>
      </c>
      <c r="D7" s="17"/>
      <c r="E7" s="17"/>
      <c r="F7" s="17"/>
      <c r="G7" s="17"/>
      <c r="H7" s="17"/>
      <c r="I7" s="17"/>
      <c r="J7" s="17"/>
      <c r="K7" s="44"/>
    </row>
    <row r="8" spans="1:11">
      <c r="A8" s="43" t="s">
        <v>239</v>
      </c>
      <c r="B8" s="160" t="s">
        <v>729</v>
      </c>
      <c r="C8" s="137">
        <v>0.3</v>
      </c>
      <c r="D8" s="17"/>
      <c r="E8" s="17"/>
      <c r="F8" s="17"/>
      <c r="G8" s="17"/>
      <c r="H8" s="17"/>
      <c r="I8" s="17"/>
      <c r="J8" s="17"/>
      <c r="K8" s="44"/>
    </row>
    <row r="9" spans="1:11">
      <c r="A9" s="43" t="s">
        <v>693</v>
      </c>
      <c r="B9" s="100" t="s">
        <v>266</v>
      </c>
      <c r="C9" s="137">
        <v>5</v>
      </c>
      <c r="D9" s="17"/>
      <c r="E9" s="17"/>
      <c r="F9" s="17"/>
      <c r="G9" s="17"/>
      <c r="H9" s="17"/>
      <c r="I9" s="17"/>
      <c r="J9" s="17"/>
      <c r="K9" s="44"/>
    </row>
    <row r="10" spans="1:11">
      <c r="A10" s="43" t="s">
        <v>609</v>
      </c>
      <c r="B10" s="17" t="s">
        <v>287</v>
      </c>
      <c r="C10" s="158">
        <v>3</v>
      </c>
      <c r="D10" s="17"/>
      <c r="E10" s="17"/>
      <c r="F10" s="17"/>
      <c r="G10" s="17"/>
      <c r="H10" s="17"/>
      <c r="I10" s="17"/>
      <c r="J10" s="17"/>
      <c r="K10" s="44"/>
    </row>
    <row r="11" spans="1:11">
      <c r="A11" s="43" t="s">
        <v>236</v>
      </c>
      <c r="B11" s="17" t="s">
        <v>272</v>
      </c>
      <c r="C11" s="158">
        <v>2</v>
      </c>
      <c r="D11" s="17"/>
      <c r="E11" s="17"/>
      <c r="F11" s="17"/>
      <c r="G11" s="17"/>
      <c r="H11" s="17"/>
      <c r="I11" s="17"/>
      <c r="J11" s="17"/>
      <c r="K11" s="44"/>
    </row>
    <row r="12" spans="1:11">
      <c r="A12" s="43" t="s">
        <v>265</v>
      </c>
      <c r="B12" s="100" t="s">
        <v>267</v>
      </c>
      <c r="C12" s="158">
        <v>1.5</v>
      </c>
      <c r="D12" s="17"/>
      <c r="E12" s="17"/>
      <c r="F12" s="17"/>
      <c r="G12" s="17"/>
      <c r="H12" s="17"/>
      <c r="I12" s="17"/>
      <c r="J12" s="17"/>
      <c r="K12" s="44"/>
    </row>
    <row r="13" spans="1:11">
      <c r="A13" s="43" t="s">
        <v>277</v>
      </c>
      <c r="B13" s="100" t="s">
        <v>275</v>
      </c>
      <c r="C13" s="158">
        <v>0.6</v>
      </c>
      <c r="D13" s="17"/>
      <c r="E13" s="17"/>
      <c r="F13" s="17"/>
      <c r="G13" s="17"/>
      <c r="H13" s="17"/>
      <c r="I13" s="17"/>
      <c r="J13" s="17"/>
      <c r="K13" s="44"/>
    </row>
    <row r="14" spans="1:11">
      <c r="A14" s="43" t="s">
        <v>240</v>
      </c>
      <c r="B14" s="100" t="s">
        <v>502</v>
      </c>
      <c r="C14" s="159">
        <f>0.5-((C6-C7)/(C8^2))+SQRT(((((C6-C7)/(C8^2))-0.5)^2)+(2*(C6/(C8^2))))</f>
        <v>1.3333333333333333</v>
      </c>
      <c r="D14" s="17"/>
      <c r="E14" s="17"/>
      <c r="F14" s="17"/>
      <c r="G14" s="17"/>
      <c r="H14" s="17"/>
      <c r="I14" s="17"/>
      <c r="J14" s="17"/>
      <c r="K14" s="44"/>
    </row>
    <row r="15" spans="1:11">
      <c r="A15" s="43" t="s">
        <v>241</v>
      </c>
      <c r="B15" s="100" t="s">
        <v>503</v>
      </c>
      <c r="C15" s="159">
        <f>0.5-((C6-C7)/(C8^2))-SQRT(((((C6-C7)/(C8^2))-0.5)^2)+(2*(C6/(C8^2))))</f>
        <v>-0.99999999999999978</v>
      </c>
      <c r="D15" s="17"/>
      <c r="E15" s="17"/>
      <c r="F15" s="17"/>
      <c r="G15" s="17"/>
      <c r="H15" s="17"/>
      <c r="I15" s="17"/>
      <c r="J15" s="17"/>
      <c r="K15" s="44"/>
    </row>
    <row r="16" spans="1:11">
      <c r="A16" s="43"/>
      <c r="B16" s="17"/>
      <c r="C16" s="160"/>
      <c r="D16" s="160"/>
      <c r="E16" s="160"/>
      <c r="F16" s="160"/>
      <c r="G16" s="160"/>
      <c r="H16" s="160"/>
      <c r="I16" s="160"/>
      <c r="J16" s="160"/>
      <c r="K16" s="240"/>
    </row>
    <row r="17" spans="1:11">
      <c r="A17" s="43" t="s">
        <v>273</v>
      </c>
      <c r="B17" s="17" t="s">
        <v>504</v>
      </c>
      <c r="C17" s="159">
        <f>$C$21*(C3^$C$14)</f>
        <v>9.564029297498557</v>
      </c>
      <c r="D17" s="159">
        <f t="shared" ref="D17:K17" si="1">$C$21*(D3^$C$14)</f>
        <v>24.099843667459414</v>
      </c>
      <c r="E17" s="159">
        <f t="shared" si="1"/>
        <v>41.381151434174278</v>
      </c>
      <c r="F17" s="159">
        <f t="shared" si="1"/>
        <v>60.727800671615555</v>
      </c>
      <c r="G17" s="159">
        <f t="shared" si="1"/>
        <v>81.771300260168758</v>
      </c>
      <c r="H17" s="159">
        <f t="shared" si="1"/>
        <v>104.27396752160716</v>
      </c>
      <c r="I17" s="159">
        <f t="shared" si="1"/>
        <v>128.06730913293583</v>
      </c>
      <c r="J17" s="159">
        <f t="shared" si="1"/>
        <v>153.02446875997683</v>
      </c>
      <c r="K17" s="241">
        <f t="shared" si="1"/>
        <v>179.04584362429094</v>
      </c>
    </row>
    <row r="18" spans="1:11">
      <c r="A18" s="43" t="s">
        <v>508</v>
      </c>
      <c r="B18" s="17" t="s">
        <v>513</v>
      </c>
      <c r="C18" s="159">
        <f>$C$22*(C3^$C$15)+(C3/$C$7)-($C$5/$C$6)</f>
        <v>4.0128311562160235</v>
      </c>
      <c r="D18" s="159">
        <f t="shared" ref="D18:K18" si="2">$C$22*(D3^$C$15)+(D3/$C$7)-($C$5/$C$6)</f>
        <v>27.006415578108019</v>
      </c>
      <c r="E18" s="159">
        <f t="shared" si="2"/>
        <v>56.893165940960898</v>
      </c>
      <c r="F18" s="159">
        <f t="shared" si="2"/>
        <v>88.503207789054017</v>
      </c>
      <c r="G18" s="159">
        <f t="shared" si="2"/>
        <v>120.80256623124322</v>
      </c>
      <c r="H18" s="159">
        <f t="shared" si="2"/>
        <v>153.44658297048045</v>
      </c>
      <c r="I18" s="159">
        <f t="shared" si="2"/>
        <v>186.28754730803087</v>
      </c>
      <c r="J18" s="159">
        <f t="shared" si="2"/>
        <v>219.25160389452702</v>
      </c>
      <c r="K18" s="241">
        <f t="shared" si="2"/>
        <v>252.29772198032032</v>
      </c>
    </row>
    <row r="19" spans="1:11">
      <c r="A19" s="43" t="s">
        <v>269</v>
      </c>
      <c r="B19" s="100" t="s">
        <v>514</v>
      </c>
      <c r="C19" s="159">
        <f>$C$23*(C3^$C$14)+$C$24*(C3^$C$15)+($C$13*C3/$C$7)-($C$12/$C$6)</f>
        <v>7.6431126662983786</v>
      </c>
      <c r="D19" s="159">
        <f t="shared" ref="D19:K19" si="3">$C$23*(D3^$C$14)+$C$24*(D3^$C$15)+($C$13*D3/$C$7)-($C$12/$C$6)</f>
        <v>31.611031966396311</v>
      </c>
      <c r="E19" s="159">
        <f t="shared" si="3"/>
        <v>59.557619613709775</v>
      </c>
      <c r="F19" s="159">
        <f t="shared" si="3"/>
        <v>89.233369868615029</v>
      </c>
      <c r="G19" s="159">
        <f t="shared" si="3"/>
        <v>120.06456337048485</v>
      </c>
      <c r="H19" s="159">
        <f t="shared" si="3"/>
        <v>151.79878523907252</v>
      </c>
      <c r="I19" s="159">
        <f t="shared" si="3"/>
        <v>184.29236813483374</v>
      </c>
      <c r="J19" s="159">
        <f t="shared" si="3"/>
        <v>217.45078271197804</v>
      </c>
      <c r="K19" s="241">
        <f t="shared" si="3"/>
        <v>251.20599840119007</v>
      </c>
    </row>
    <row r="20" spans="1:11">
      <c r="A20" s="43"/>
      <c r="B20" s="17"/>
      <c r="C20" s="159"/>
      <c r="D20" s="159"/>
      <c r="E20" s="159"/>
      <c r="F20" s="159"/>
      <c r="G20" s="159"/>
      <c r="H20" s="159"/>
      <c r="I20" s="159"/>
      <c r="J20" s="159"/>
      <c r="K20" s="241"/>
    </row>
    <row r="21" spans="1:11">
      <c r="A21" s="43" t="s">
        <v>561</v>
      </c>
      <c r="B21" s="100" t="s">
        <v>243</v>
      </c>
      <c r="C21" s="159">
        <v>9.564029297498557</v>
      </c>
      <c r="D21" s="17"/>
      <c r="E21" s="17"/>
      <c r="F21" s="17"/>
      <c r="G21" s="17"/>
      <c r="H21" s="17"/>
      <c r="I21" s="17"/>
      <c r="J21" s="17"/>
      <c r="K21" s="44"/>
    </row>
    <row r="22" spans="1:11">
      <c r="A22" s="43" t="s">
        <v>558</v>
      </c>
      <c r="B22" s="100" t="s">
        <v>268</v>
      </c>
      <c r="C22" s="159">
        <v>20.679497822882684</v>
      </c>
      <c r="D22" s="17"/>
      <c r="E22" s="17"/>
      <c r="F22" s="17"/>
      <c r="G22" s="17"/>
      <c r="H22" s="17"/>
      <c r="I22" s="17"/>
      <c r="J22" s="17"/>
      <c r="K22" s="44"/>
    </row>
    <row r="23" spans="1:11">
      <c r="A23" s="43" t="s">
        <v>247</v>
      </c>
      <c r="B23" s="100" t="s">
        <v>274</v>
      </c>
      <c r="C23" s="159">
        <v>5.0941980238545383</v>
      </c>
      <c r="D23" s="17"/>
      <c r="E23" s="17"/>
      <c r="F23" s="17"/>
      <c r="G23" s="17"/>
      <c r="H23" s="17"/>
      <c r="I23" s="17"/>
      <c r="J23" s="17"/>
      <c r="K23" s="44"/>
    </row>
    <row r="24" spans="1:11">
      <c r="A24" s="43" t="s">
        <v>248</v>
      </c>
      <c r="B24" s="100" t="s">
        <v>244</v>
      </c>
      <c r="C24" s="159">
        <v>7.5489146424438403</v>
      </c>
      <c r="D24" s="17"/>
      <c r="E24" s="17"/>
      <c r="F24" s="17"/>
      <c r="G24" s="17"/>
      <c r="H24" s="17"/>
      <c r="I24" s="17"/>
      <c r="J24" s="17"/>
      <c r="K24" s="44"/>
    </row>
    <row r="25" spans="1:11">
      <c r="A25" s="43" t="s">
        <v>506</v>
      </c>
      <c r="B25" s="17" t="s">
        <v>245</v>
      </c>
      <c r="C25" s="159">
        <v>17.72</v>
      </c>
      <c r="D25" s="17"/>
      <c r="E25" s="17"/>
      <c r="F25" s="17"/>
      <c r="G25" s="17"/>
      <c r="H25" s="17"/>
      <c r="I25" s="17"/>
      <c r="J25" s="17"/>
      <c r="K25" s="44"/>
    </row>
    <row r="26" spans="1:11">
      <c r="A26" s="43" t="s">
        <v>283</v>
      </c>
      <c r="B26" s="100" t="s">
        <v>526</v>
      </c>
      <c r="C26" s="159">
        <v>7.1336580243611927</v>
      </c>
      <c r="D26" s="17"/>
      <c r="E26" s="17"/>
      <c r="F26" s="17"/>
      <c r="G26" s="17"/>
      <c r="H26" s="17"/>
      <c r="I26" s="17"/>
      <c r="J26" s="17"/>
      <c r="K26" s="44"/>
    </row>
    <row r="27" spans="1:11">
      <c r="A27" s="242" t="s">
        <v>270</v>
      </c>
      <c r="B27" s="100" t="s">
        <v>271</v>
      </c>
      <c r="C27" s="159">
        <v>1.5486407321521967</v>
      </c>
      <c r="D27" s="17"/>
      <c r="E27" s="17"/>
      <c r="F27" s="17"/>
      <c r="G27" s="17"/>
      <c r="H27" s="17"/>
      <c r="I27" s="17"/>
      <c r="J27" s="17"/>
      <c r="K27" s="44"/>
    </row>
    <row r="28" spans="1:11">
      <c r="A28" s="43" t="s">
        <v>256</v>
      </c>
      <c r="B28" s="17" t="s">
        <v>257</v>
      </c>
      <c r="C28" s="159">
        <v>0.71747516882867657</v>
      </c>
      <c r="D28" s="17"/>
      <c r="E28" s="17"/>
      <c r="F28" s="17"/>
      <c r="G28" s="17"/>
      <c r="H28" s="17"/>
      <c r="I28" s="17"/>
      <c r="J28" s="17"/>
      <c r="K28" s="44"/>
    </row>
    <row r="29" spans="1:11">
      <c r="A29" s="43"/>
      <c r="B29" s="100" t="s">
        <v>553</v>
      </c>
      <c r="C29" s="159" t="s">
        <v>553</v>
      </c>
      <c r="D29" s="159" t="s">
        <v>553</v>
      </c>
      <c r="E29" s="159" t="s">
        <v>553</v>
      </c>
      <c r="F29" s="159" t="s">
        <v>553</v>
      </c>
      <c r="G29" s="159" t="s">
        <v>553</v>
      </c>
      <c r="H29" s="159" t="s">
        <v>553</v>
      </c>
      <c r="I29" s="159" t="s">
        <v>553</v>
      </c>
      <c r="J29" s="159" t="s">
        <v>553</v>
      </c>
      <c r="K29" s="241" t="s">
        <v>553</v>
      </c>
    </row>
    <row r="30" spans="1:11">
      <c r="A30" s="43"/>
      <c r="B30" s="17" t="s">
        <v>535</v>
      </c>
      <c r="C30" s="161">
        <f>(C21)*(C25^C14)-C22*(C25^C15)-(C25/C7)+(C5/C6)+C4</f>
        <v>3.7499057106060718E-4</v>
      </c>
      <c r="D30" s="159" t="s">
        <v>527</v>
      </c>
      <c r="E30" s="17"/>
      <c r="F30" s="17"/>
      <c r="G30" s="17"/>
      <c r="H30" s="17"/>
      <c r="I30" s="17"/>
      <c r="J30" s="17"/>
      <c r="K30" s="44"/>
    </row>
    <row r="31" spans="1:11">
      <c r="A31" s="43"/>
      <c r="B31" s="17" t="s">
        <v>536</v>
      </c>
      <c r="C31" s="161">
        <f>C14*(C21)*(C25^(C14-1))-C15*C22*(C25^(C15-1))-(1/C7)</f>
        <v>-2.1872301021076623E-2</v>
      </c>
      <c r="D31" s="159" t="s">
        <v>528</v>
      </c>
      <c r="E31" s="17"/>
      <c r="F31" s="17"/>
      <c r="G31" s="17"/>
      <c r="H31" s="17"/>
      <c r="I31" s="17"/>
      <c r="J31" s="17"/>
      <c r="K31" s="44"/>
    </row>
    <row r="32" spans="1:11">
      <c r="A32" s="43"/>
      <c r="B32" s="17" t="s">
        <v>537</v>
      </c>
      <c r="C32" s="161">
        <f>(-C23)*(C27^C14)+(C22-C24)*(C27^C15)+((1-C13)*C27)/C7-((C5-C12)/C6)+C9</f>
        <v>7.4357686230541731E-8</v>
      </c>
      <c r="D32" s="159" t="s">
        <v>529</v>
      </c>
      <c r="E32" s="17"/>
      <c r="F32" s="17"/>
      <c r="G32" s="17"/>
      <c r="H32" s="17"/>
      <c r="I32" s="17"/>
      <c r="J32" s="17"/>
      <c r="K32" s="44"/>
    </row>
    <row r="33" spans="1:11">
      <c r="A33" s="43"/>
      <c r="B33" s="17" t="s">
        <v>538</v>
      </c>
      <c r="C33" s="161">
        <f>C14*(-C23)*(C27^(C14-1))+C15*(C22-C24)*(C27^(C15-1))+(1-C13)/C7</f>
        <v>2.6027434962827556E-7</v>
      </c>
      <c r="D33" s="159" t="s">
        <v>530</v>
      </c>
      <c r="E33" s="17"/>
      <c r="F33" s="17"/>
      <c r="G33" s="17"/>
      <c r="H33" s="17"/>
      <c r="I33" s="17"/>
      <c r="J33" s="17"/>
      <c r="K33" s="44"/>
    </row>
    <row r="34" spans="1:11">
      <c r="A34" s="43"/>
      <c r="B34" s="100" t="s">
        <v>539</v>
      </c>
      <c r="C34" s="161">
        <f>(C23)*(C26^C14)+(C24-C22)*(C26^C15)-(1-C13)*C26/C7+(C5-C12)/C6+C11</f>
        <v>-8.7689541317104158E-7</v>
      </c>
      <c r="D34" s="159" t="s">
        <v>531</v>
      </c>
      <c r="E34" s="17"/>
      <c r="F34" s="17"/>
      <c r="G34" s="17"/>
      <c r="H34" s="17"/>
      <c r="I34" s="17"/>
      <c r="J34" s="17"/>
      <c r="K34" s="44"/>
    </row>
    <row r="35" spans="1:11">
      <c r="A35" s="43"/>
      <c r="B35" s="100" t="s">
        <v>541</v>
      </c>
      <c r="C35" s="161">
        <f>C14*(C23)*(C26^(C14-1))+C15*(C24-C22)*(C26^(C15-1))-(1-C13)/C7</f>
        <v>9.6444708219678432E-8</v>
      </c>
      <c r="D35" s="159" t="s">
        <v>532</v>
      </c>
      <c r="E35" s="17"/>
      <c r="F35" s="17"/>
      <c r="G35" s="17"/>
      <c r="H35" s="17"/>
      <c r="I35" s="17"/>
      <c r="J35" s="17"/>
      <c r="K35" s="44"/>
    </row>
    <row r="36" spans="1:11">
      <c r="A36" s="43"/>
      <c r="B36" s="17" t="s">
        <v>540</v>
      </c>
      <c r="C36" s="161">
        <f>(C23-C21)*(C28^C14)+C24*(C28^C15)+((C13*C28)/C7)-C12/C6+C10</f>
        <v>1.9699442077580898E-9</v>
      </c>
      <c r="D36" s="159" t="s">
        <v>533</v>
      </c>
      <c r="E36" s="17"/>
      <c r="F36" s="17"/>
      <c r="G36" s="17"/>
      <c r="H36" s="17"/>
      <c r="I36" s="17"/>
      <c r="J36" s="17"/>
      <c r="K36" s="44"/>
    </row>
    <row r="37" spans="1:11">
      <c r="A37" s="43"/>
      <c r="B37" s="17" t="s">
        <v>542</v>
      </c>
      <c r="C37" s="161">
        <f>C14*(C23-C21)*(C28^(C14-1))+C15*C24*(C28^(C15-1))+(C13/C7)</f>
        <v>5.0219455260958057E-9</v>
      </c>
      <c r="D37" s="159" t="s">
        <v>534</v>
      </c>
      <c r="E37" s="17"/>
      <c r="F37" s="17"/>
      <c r="G37" s="17"/>
      <c r="H37" s="17"/>
      <c r="I37" s="17"/>
      <c r="J37" s="17"/>
      <c r="K37" s="44"/>
    </row>
    <row r="38" spans="1:11">
      <c r="A38" s="43"/>
      <c r="B38" s="100" t="s">
        <v>509</v>
      </c>
      <c r="C38" s="161">
        <f t="array" ref="C38">SUM(ABS(C30:C37))</f>
        <v>2.2248606556184214E-2</v>
      </c>
      <c r="D38" s="17"/>
      <c r="E38" s="17"/>
      <c r="F38" s="17"/>
      <c r="G38" s="17"/>
      <c r="H38" s="17"/>
      <c r="I38" s="17"/>
      <c r="J38" s="17"/>
      <c r="K38" s="44"/>
    </row>
    <row r="39" spans="1:11">
      <c r="A39" s="43" t="str">
        <f t="shared" ref="A39:B41" si="4">A17</f>
        <v>V0(P)</v>
      </c>
      <c r="B39" s="17" t="str">
        <f t="shared" si="4"/>
        <v>Eq. 8.4</v>
      </c>
      <c r="C39" s="159" t="s">
        <v>510</v>
      </c>
      <c r="D39" s="17"/>
      <c r="E39" s="17"/>
      <c r="F39" s="17"/>
      <c r="G39" s="17"/>
      <c r="H39" s="17"/>
      <c r="I39" s="17"/>
      <c r="J39" s="17"/>
      <c r="K39" s="44"/>
    </row>
    <row r="40" spans="1:11">
      <c r="A40" s="43" t="str">
        <f t="shared" si="4"/>
        <v>VK(P)</v>
      </c>
      <c r="B40" s="17" t="str">
        <f t="shared" si="4"/>
        <v>Eq. 8.12</v>
      </c>
      <c r="C40" s="159" t="s">
        <v>511</v>
      </c>
      <c r="D40" s="17"/>
      <c r="E40" s="17"/>
      <c r="F40" s="17"/>
      <c r="G40" s="17"/>
      <c r="H40" s="17"/>
      <c r="I40" s="17"/>
      <c r="J40" s="17"/>
      <c r="K40" s="44"/>
    </row>
    <row r="41" spans="1:11">
      <c r="A41" s="45" t="str">
        <f t="shared" si="4"/>
        <v>VC(P)</v>
      </c>
      <c r="B41" s="49" t="str">
        <f t="shared" si="4"/>
        <v>Eq.8.23</v>
      </c>
      <c r="C41" s="243" t="s">
        <v>512</v>
      </c>
      <c r="D41" s="49"/>
      <c r="E41" s="49"/>
      <c r="F41" s="49"/>
      <c r="G41" s="49"/>
      <c r="H41" s="49"/>
      <c r="I41" s="49"/>
      <c r="J41" s="49"/>
      <c r="K41" s="51"/>
    </row>
  </sheetData>
  <phoneticPr fontId="8" type="noConversion"/>
  <printOptions headings="1"/>
  <pageMargins left="0.75" right="0.75" top="1" bottom="1" header="0.5" footer="0.5"/>
  <pageSetup orientation="portrait" horizontalDpi="4294967293" verticalDpi="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dimension ref="A1:C25"/>
  <sheetViews>
    <sheetView workbookViewId="0">
      <selection activeCell="B14" sqref="B14"/>
    </sheetView>
  </sheetViews>
  <sheetFormatPr defaultRowHeight="12.75"/>
  <cols>
    <col min="1" max="1" width="41" customWidth="1"/>
    <col min="2" max="2" width="11.42578125" customWidth="1"/>
    <col min="3" max="3" width="39.85546875" customWidth="1"/>
  </cols>
  <sheetData>
    <row r="1" spans="1:3" ht="15">
      <c r="A1" s="176" t="s">
        <v>356</v>
      </c>
      <c r="B1" s="40"/>
      <c r="C1" s="176"/>
    </row>
    <row r="2" spans="1:3" ht="15">
      <c r="A2" s="153" t="s">
        <v>357</v>
      </c>
      <c r="B2" s="153"/>
      <c r="C2" s="153" t="s">
        <v>553</v>
      </c>
    </row>
    <row r="3" spans="1:3" ht="13.5" thickBot="1">
      <c r="A3" s="17" t="s">
        <v>553</v>
      </c>
      <c r="B3" s="177" t="s">
        <v>553</v>
      </c>
      <c r="C3" s="17"/>
    </row>
    <row r="4" spans="1:3" ht="13.5" thickTop="1">
      <c r="A4" s="131" t="s">
        <v>358</v>
      </c>
      <c r="B4" s="178">
        <v>0.04</v>
      </c>
      <c r="C4" s="133"/>
    </row>
    <row r="5" spans="1:3">
      <c r="A5" s="134" t="s">
        <v>391</v>
      </c>
      <c r="B5" s="179">
        <v>0.04</v>
      </c>
      <c r="C5" s="143"/>
    </row>
    <row r="6" spans="1:3">
      <c r="A6" s="134" t="s">
        <v>359</v>
      </c>
      <c r="B6" s="179">
        <v>0.2</v>
      </c>
      <c r="C6" s="143"/>
    </row>
    <row r="7" spans="1:3">
      <c r="A7" s="134" t="s">
        <v>360</v>
      </c>
      <c r="B7" s="180">
        <v>0.55000000000000004</v>
      </c>
      <c r="C7" s="143"/>
    </row>
    <row r="8" spans="1:3">
      <c r="A8" s="134" t="s">
        <v>361</v>
      </c>
      <c r="B8" s="181">
        <v>1250000</v>
      </c>
      <c r="C8" s="143"/>
    </row>
    <row r="9" spans="1:3">
      <c r="A9" s="134" t="s">
        <v>362</v>
      </c>
      <c r="B9" s="181">
        <v>1000000</v>
      </c>
      <c r="C9" s="143"/>
    </row>
    <row r="10" spans="1:3">
      <c r="A10" s="182" t="s">
        <v>363</v>
      </c>
      <c r="B10" s="183">
        <f>IF(B8&lt;B13,B16,B17)</f>
        <v>79101.5625</v>
      </c>
      <c r="C10" s="227" t="s">
        <v>392</v>
      </c>
    </row>
    <row r="11" spans="1:3">
      <c r="A11" s="182" t="s">
        <v>364</v>
      </c>
      <c r="B11" s="183">
        <f>IF(B8&lt;B13,B18,B19)</f>
        <v>91796.874999999767</v>
      </c>
      <c r="C11" s="227" t="s">
        <v>393</v>
      </c>
    </row>
    <row r="12" spans="1:3">
      <c r="A12" s="182"/>
      <c r="B12" s="183"/>
      <c r="C12" s="227"/>
    </row>
    <row r="13" spans="1:3" ht="14.25">
      <c r="A13" s="182" t="s">
        <v>365</v>
      </c>
      <c r="B13" s="183">
        <f>(B21/(B21-1))*B9*(1/(1-B7))</f>
        <v>4444444.444444445</v>
      </c>
      <c r="C13" s="227" t="s">
        <v>394</v>
      </c>
    </row>
    <row r="14" spans="1:3" ht="14.25">
      <c r="A14" s="182" t="s">
        <v>366</v>
      </c>
      <c r="B14" s="226">
        <f>B24</f>
        <v>1229635.5413758582</v>
      </c>
      <c r="C14" s="227" t="s">
        <v>395</v>
      </c>
    </row>
    <row r="15" spans="1:3">
      <c r="A15" s="134"/>
      <c r="B15" s="184"/>
      <c r="C15" s="228"/>
    </row>
    <row r="16" spans="1:3">
      <c r="A16" s="134" t="s">
        <v>367</v>
      </c>
      <c r="B16" s="185">
        <f>(((1-B7)*B13-B9)*(B8/B13)^B21)</f>
        <v>79101.5625</v>
      </c>
      <c r="C16" s="228" t="s">
        <v>396</v>
      </c>
    </row>
    <row r="17" spans="1:3">
      <c r="A17" s="134" t="s">
        <v>368</v>
      </c>
      <c r="B17" s="185">
        <f>((1-B7)*B8-B9)</f>
        <v>-437500</v>
      </c>
      <c r="C17" s="228" t="s">
        <v>397</v>
      </c>
    </row>
    <row r="18" spans="1:3">
      <c r="A18" s="134" t="s">
        <v>369</v>
      </c>
      <c r="B18" s="185">
        <f>B8-(B8^B21)*(B13^(1-B21))+B7*B13*(B8/B13)^B21-B9</f>
        <v>91796.874999999767</v>
      </c>
      <c r="C18" s="228" t="s">
        <v>398</v>
      </c>
    </row>
    <row r="19" spans="1:3">
      <c r="A19" s="134" t="s">
        <v>370</v>
      </c>
      <c r="B19" s="185">
        <f>(B7*B8)</f>
        <v>687500</v>
      </c>
      <c r="C19" s="228" t="s">
        <v>402</v>
      </c>
    </row>
    <row r="20" spans="1:3">
      <c r="A20" s="134"/>
      <c r="B20" s="47"/>
      <c r="C20" s="138"/>
    </row>
    <row r="21" spans="1:3" ht="14.25">
      <c r="A21" s="187" t="s">
        <v>371</v>
      </c>
      <c r="B21" s="14">
        <f>0.5-((B4-B5)/B6^2)+SQRT((((B4-B5)/B6^2)-0.5)^2+(2*B4/B6^2))</f>
        <v>1.9999999999999998</v>
      </c>
      <c r="C21" s="229" t="s">
        <v>399</v>
      </c>
    </row>
    <row r="22" spans="1:3">
      <c r="A22" s="134" t="s">
        <v>403</v>
      </c>
      <c r="B22" s="47" t="s">
        <v>372</v>
      </c>
      <c r="C22" s="186"/>
    </row>
    <row r="23" spans="1:3">
      <c r="A23" s="134" t="s">
        <v>710</v>
      </c>
      <c r="B23" s="188">
        <f>(B13^(-B21))*((1-B7)*B13-B9)+(1-B7)*B13^(1-B21)</f>
        <v>1.518750000000005E-7</v>
      </c>
      <c r="C23" s="189" t="s">
        <v>400</v>
      </c>
    </row>
    <row r="24" spans="1:3" ht="13.5" thickBot="1">
      <c r="A24" s="190" t="s">
        <v>720</v>
      </c>
      <c r="B24" s="191">
        <f>(1-SQRT(1-4*B23*B9))/(2*B23)</f>
        <v>1229635.5413758582</v>
      </c>
      <c r="C24" s="192" t="s">
        <v>401</v>
      </c>
    </row>
    <row r="25" spans="1:3" ht="13.5" thickTop="1"/>
  </sheetData>
  <phoneticPr fontId="8" type="noConversion"/>
  <printOptions horizontalCentered="1" headings="1"/>
  <pageMargins left="0.74803149606299213" right="0.74803149606299213" top="0.98425196850393704" bottom="0.98425196850393704" header="0.51181102362204722" footer="0.51181102362204722"/>
  <pageSetup paperSize="9" scale="90" orientation="portrait" horizontalDpi="0" verticalDpi="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dimension ref="A1:G43"/>
  <sheetViews>
    <sheetView topLeftCell="A19" workbookViewId="0">
      <selection activeCell="I46" sqref="I46"/>
    </sheetView>
  </sheetViews>
  <sheetFormatPr defaultRowHeight="12.75"/>
  <sheetData>
    <row r="1" spans="1:7" ht="20.25">
      <c r="D1" s="87" t="s">
        <v>493</v>
      </c>
      <c r="F1" s="110"/>
      <c r="G1" s="110"/>
    </row>
    <row r="2" spans="1:7">
      <c r="A2" t="s">
        <v>553</v>
      </c>
    </row>
    <row r="3" spans="1:7" ht="18.75">
      <c r="A3" s="174" t="s">
        <v>553</v>
      </c>
      <c r="B3" s="175" t="s">
        <v>492</v>
      </c>
      <c r="C3" s="175"/>
      <c r="D3" s="175"/>
      <c r="E3" s="175"/>
      <c r="F3" s="175"/>
      <c r="G3" s="175"/>
    </row>
    <row r="6" spans="1:7">
      <c r="A6" t="s">
        <v>583</v>
      </c>
    </row>
    <row r="7" spans="1:7">
      <c r="A7" t="s">
        <v>491</v>
      </c>
      <c r="B7">
        <v>1</v>
      </c>
      <c r="C7">
        <f>B7</f>
        <v>1</v>
      </c>
      <c r="D7">
        <f>C7</f>
        <v>1</v>
      </c>
      <c r="E7">
        <f>D7</f>
        <v>1</v>
      </c>
      <c r="F7">
        <f>E7</f>
        <v>1</v>
      </c>
      <c r="G7">
        <f>F7</f>
        <v>1</v>
      </c>
    </row>
    <row r="8" spans="1:7">
      <c r="A8" s="2" t="s">
        <v>556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</row>
    <row r="9" spans="1:7">
      <c r="A9" t="s">
        <v>35</v>
      </c>
      <c r="B9">
        <v>10</v>
      </c>
      <c r="C9">
        <f>B9+2</f>
        <v>12</v>
      </c>
      <c r="D9">
        <f>C9+2</f>
        <v>14</v>
      </c>
      <c r="E9">
        <f>D9+2</f>
        <v>16</v>
      </c>
      <c r="F9">
        <f>E9+2</f>
        <v>18</v>
      </c>
      <c r="G9">
        <f>F9+2</f>
        <v>20</v>
      </c>
    </row>
    <row r="10" spans="1:7">
      <c r="A10" s="2" t="s">
        <v>488</v>
      </c>
      <c r="B10">
        <v>1</v>
      </c>
      <c r="C10">
        <f t="shared" ref="C10:G11" si="0">B10</f>
        <v>1</v>
      </c>
      <c r="D10">
        <f t="shared" si="0"/>
        <v>1</v>
      </c>
      <c r="E10">
        <f t="shared" si="0"/>
        <v>1</v>
      </c>
      <c r="F10">
        <f t="shared" si="0"/>
        <v>1</v>
      </c>
      <c r="G10">
        <f t="shared" si="0"/>
        <v>1</v>
      </c>
    </row>
    <row r="11" spans="1:7">
      <c r="A11" t="s">
        <v>2</v>
      </c>
      <c r="B11">
        <v>0.06</v>
      </c>
      <c r="C11">
        <f t="shared" si="0"/>
        <v>0.06</v>
      </c>
      <c r="D11">
        <f t="shared" si="0"/>
        <v>0.06</v>
      </c>
      <c r="E11">
        <f t="shared" si="0"/>
        <v>0.06</v>
      </c>
      <c r="F11">
        <f t="shared" si="0"/>
        <v>0.06</v>
      </c>
      <c r="G11">
        <f t="shared" si="0"/>
        <v>0.06</v>
      </c>
    </row>
    <row r="12" spans="1:7">
      <c r="A12" s="2" t="s">
        <v>3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</row>
    <row r="13" spans="1:7">
      <c r="A13" s="2" t="s">
        <v>5</v>
      </c>
      <c r="B13">
        <v>0.1</v>
      </c>
      <c r="C13">
        <f t="shared" ref="C13:G14" si="1">B13</f>
        <v>0.1</v>
      </c>
      <c r="D13">
        <f t="shared" si="1"/>
        <v>0.1</v>
      </c>
      <c r="E13">
        <f t="shared" si="1"/>
        <v>0.1</v>
      </c>
      <c r="F13">
        <f t="shared" si="1"/>
        <v>0.1</v>
      </c>
      <c r="G13">
        <f t="shared" si="1"/>
        <v>0.1</v>
      </c>
    </row>
    <row r="14" spans="1:7">
      <c r="A14" s="2" t="s">
        <v>710</v>
      </c>
      <c r="B14">
        <f>B11-B12</f>
        <v>0.06</v>
      </c>
      <c r="C14">
        <f t="shared" si="1"/>
        <v>0.06</v>
      </c>
      <c r="D14">
        <f t="shared" si="1"/>
        <v>0.06</v>
      </c>
      <c r="E14">
        <f t="shared" si="1"/>
        <v>0.06</v>
      </c>
      <c r="F14">
        <f t="shared" si="1"/>
        <v>0.06</v>
      </c>
      <c r="G14">
        <f t="shared" si="1"/>
        <v>0.06</v>
      </c>
    </row>
    <row r="16" spans="1:7">
      <c r="A16" t="s">
        <v>605</v>
      </c>
    </row>
    <row r="17" spans="1:7">
      <c r="A17" s="2" t="s">
        <v>562</v>
      </c>
      <c r="B17" s="3">
        <f t="shared" ref="B17:G17" si="2">0.5-(B12/B13^2)+SQRT((B12/B13^2)^2+((2*B11/B13^2)))</f>
        <v>3.9641016151377539</v>
      </c>
      <c r="C17" s="3">
        <f t="shared" si="2"/>
        <v>3.9641016151377539</v>
      </c>
      <c r="D17" s="3">
        <f t="shared" si="2"/>
        <v>3.9641016151377539</v>
      </c>
      <c r="E17" s="3">
        <f t="shared" si="2"/>
        <v>3.9641016151377539</v>
      </c>
      <c r="F17" s="3">
        <f t="shared" si="2"/>
        <v>3.9641016151377539</v>
      </c>
      <c r="G17" s="3">
        <f t="shared" si="2"/>
        <v>3.9641016151377539</v>
      </c>
    </row>
    <row r="18" spans="1:7">
      <c r="A18" t="s">
        <v>489</v>
      </c>
      <c r="B18" s="3">
        <f t="shared" ref="B18:G18" si="3">((B8*(B11-B12-B10)+B10)/(B11-B12))</f>
        <v>1.0000000000000009</v>
      </c>
      <c r="C18" s="3">
        <f t="shared" si="3"/>
        <v>1.0000000000000009</v>
      </c>
      <c r="D18" s="3">
        <f t="shared" si="3"/>
        <v>1.0000000000000009</v>
      </c>
      <c r="E18" s="3">
        <f t="shared" si="3"/>
        <v>1.0000000000000009</v>
      </c>
      <c r="F18" s="3">
        <f t="shared" si="3"/>
        <v>1.0000000000000009</v>
      </c>
      <c r="G18" s="3">
        <f t="shared" si="3"/>
        <v>1.0000000000000009</v>
      </c>
    </row>
    <row r="19" spans="1:7" ht="15.75">
      <c r="A19" t="s">
        <v>494</v>
      </c>
      <c r="B19" s="3">
        <f t="shared" ref="B19:G19" si="4">((B17/(B17-1))*(B11-B12)*B9*(1/B18))</f>
        <v>0.80242221013469317</v>
      </c>
      <c r="C19" s="3">
        <f t="shared" si="4"/>
        <v>0.96290665216163163</v>
      </c>
      <c r="D19" s="3">
        <f t="shared" si="4"/>
        <v>1.1233910941885705</v>
      </c>
      <c r="E19" s="3">
        <f t="shared" si="4"/>
        <v>1.283875536215509</v>
      </c>
      <c r="F19" s="3">
        <f t="shared" si="4"/>
        <v>1.4443599782424474</v>
      </c>
      <c r="G19" s="3">
        <f t="shared" si="4"/>
        <v>1.6048444202693863</v>
      </c>
    </row>
    <row r="20" spans="1:7">
      <c r="A20" t="s">
        <v>104</v>
      </c>
      <c r="B20" s="3">
        <f t="shared" ref="B20:G20" si="5">((B19/(B11-B12))*B18-B9)*((B7/B19)^B17)</f>
        <v>8.0735282293674135</v>
      </c>
      <c r="C20" s="3">
        <f t="shared" si="5"/>
        <v>4.7028606331256562</v>
      </c>
      <c r="D20" s="3">
        <f t="shared" si="5"/>
        <v>2.9780022501778456</v>
      </c>
      <c r="E20" s="3">
        <f t="shared" si="5"/>
        <v>2.0046151021185459</v>
      </c>
      <c r="F20" s="3">
        <f t="shared" si="5"/>
        <v>1.4138707940358168</v>
      </c>
      <c r="G20" s="3">
        <f t="shared" si="5"/>
        <v>1.0346176233885231</v>
      </c>
    </row>
    <row r="43" spans="1:2">
      <c r="A43" s="2" t="s">
        <v>553</v>
      </c>
      <c r="B43" t="s">
        <v>553</v>
      </c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dimension ref="A1:G43"/>
  <sheetViews>
    <sheetView topLeftCell="A13" workbookViewId="0">
      <selection activeCell="A43" sqref="A43"/>
    </sheetView>
  </sheetViews>
  <sheetFormatPr defaultRowHeight="12.75"/>
  <sheetData>
    <row r="1" spans="1:7" ht="20.25">
      <c r="D1" s="87" t="s">
        <v>493</v>
      </c>
      <c r="F1" s="110"/>
      <c r="G1" s="110"/>
    </row>
    <row r="2" spans="1:7">
      <c r="A2" t="s">
        <v>490</v>
      </c>
    </row>
    <row r="3" spans="1:7" ht="18.75">
      <c r="A3" s="174" t="s">
        <v>553</v>
      </c>
      <c r="B3" s="175" t="s">
        <v>492</v>
      </c>
      <c r="C3" s="175"/>
      <c r="D3" s="175"/>
      <c r="E3" s="175"/>
      <c r="F3" s="175"/>
      <c r="G3" s="175"/>
    </row>
    <row r="6" spans="1:7">
      <c r="A6" t="s">
        <v>583</v>
      </c>
    </row>
    <row r="7" spans="1:7">
      <c r="A7" t="s">
        <v>491</v>
      </c>
      <c r="B7">
        <v>1</v>
      </c>
      <c r="C7">
        <f>B7</f>
        <v>1</v>
      </c>
      <c r="D7">
        <f>C7</f>
        <v>1</v>
      </c>
      <c r="E7">
        <f>D7</f>
        <v>1</v>
      </c>
      <c r="F7">
        <f>E7</f>
        <v>1</v>
      </c>
      <c r="G7">
        <f>F7</f>
        <v>1</v>
      </c>
    </row>
    <row r="8" spans="1:7">
      <c r="A8" s="2" t="s">
        <v>556</v>
      </c>
      <c r="B8">
        <v>0.4</v>
      </c>
      <c r="C8">
        <v>0.4</v>
      </c>
      <c r="D8">
        <v>0.4</v>
      </c>
      <c r="E8">
        <v>0.4</v>
      </c>
      <c r="F8">
        <v>0.4</v>
      </c>
      <c r="G8">
        <v>0.4</v>
      </c>
    </row>
    <row r="9" spans="1:7">
      <c r="A9" t="s">
        <v>35</v>
      </c>
      <c r="B9">
        <v>10</v>
      </c>
      <c r="C9">
        <f>B9</f>
        <v>10</v>
      </c>
      <c r="D9">
        <f t="shared" ref="D9:G10" si="0">C9</f>
        <v>10</v>
      </c>
      <c r="E9">
        <f t="shared" si="0"/>
        <v>10</v>
      </c>
      <c r="F9">
        <f t="shared" si="0"/>
        <v>10</v>
      </c>
      <c r="G9">
        <f t="shared" si="0"/>
        <v>10</v>
      </c>
    </row>
    <row r="10" spans="1:7">
      <c r="A10" s="2" t="s">
        <v>488</v>
      </c>
      <c r="B10">
        <f>B43</f>
        <v>0.01</v>
      </c>
      <c r="C10">
        <f>B10</f>
        <v>0.01</v>
      </c>
      <c r="D10">
        <f t="shared" si="0"/>
        <v>0.01</v>
      </c>
      <c r="E10">
        <f t="shared" si="0"/>
        <v>0.01</v>
      </c>
      <c r="F10">
        <f t="shared" si="0"/>
        <v>0.01</v>
      </c>
      <c r="G10">
        <f t="shared" si="0"/>
        <v>0.01</v>
      </c>
    </row>
    <row r="11" spans="1:7">
      <c r="A11" t="s">
        <v>2</v>
      </c>
      <c r="B11">
        <v>0.06</v>
      </c>
      <c r="C11">
        <f>B11</f>
        <v>0.06</v>
      </c>
      <c r="D11">
        <f>C11</f>
        <v>0.06</v>
      </c>
      <c r="E11">
        <f>D11</f>
        <v>0.06</v>
      </c>
      <c r="F11">
        <f>E11</f>
        <v>0.06</v>
      </c>
      <c r="G11">
        <f>F11</f>
        <v>0.06</v>
      </c>
    </row>
    <row r="12" spans="1:7">
      <c r="A12" s="2" t="s">
        <v>3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</row>
    <row r="13" spans="1:7">
      <c r="A13" s="2" t="s">
        <v>5</v>
      </c>
      <c r="B13">
        <v>0.1</v>
      </c>
      <c r="C13">
        <v>0.2</v>
      </c>
      <c r="D13">
        <v>0.3</v>
      </c>
      <c r="E13">
        <v>0.4</v>
      </c>
      <c r="F13">
        <v>0.5</v>
      </c>
      <c r="G13">
        <v>0.6</v>
      </c>
    </row>
    <row r="14" spans="1:7">
      <c r="A14" s="2" t="s">
        <v>710</v>
      </c>
      <c r="B14">
        <f>B11-B12</f>
        <v>0.06</v>
      </c>
      <c r="C14">
        <f>B14</f>
        <v>0.06</v>
      </c>
      <c r="D14">
        <f>C14</f>
        <v>0.06</v>
      </c>
      <c r="E14">
        <f>D14</f>
        <v>0.06</v>
      </c>
      <c r="F14">
        <f>E14</f>
        <v>0.06</v>
      </c>
      <c r="G14">
        <f>F14</f>
        <v>0.06</v>
      </c>
    </row>
    <row r="16" spans="1:7">
      <c r="A16" t="s">
        <v>605</v>
      </c>
    </row>
    <row r="17" spans="1:7">
      <c r="A17" s="2" t="s">
        <v>562</v>
      </c>
      <c r="B17" s="3">
        <f t="shared" ref="B17:G17" si="1">0.5-(B12/B13^2)+SQRT((B12/B13^2)^2+((2*B11/B13^2)))</f>
        <v>3.9641016151377539</v>
      </c>
      <c r="C17" s="3">
        <f t="shared" si="1"/>
        <v>2.2320508075688767</v>
      </c>
      <c r="D17" s="3">
        <f t="shared" si="1"/>
        <v>1.6547005383792515</v>
      </c>
      <c r="E17" s="3">
        <f t="shared" si="1"/>
        <v>1.3660254037844384</v>
      </c>
      <c r="F17" s="3">
        <f t="shared" si="1"/>
        <v>1.1928203230275509</v>
      </c>
      <c r="G17" s="3">
        <f t="shared" si="1"/>
        <v>1.0773502691896257</v>
      </c>
    </row>
    <row r="18" spans="1:7">
      <c r="A18" t="s">
        <v>489</v>
      </c>
      <c r="B18" s="3">
        <f t="shared" ref="B18:G18" si="2">((B8*(B11-B12-B10)+B10)/(B11-B12))</f>
        <v>0.5</v>
      </c>
      <c r="C18" s="3">
        <f t="shared" si="2"/>
        <v>0.5</v>
      </c>
      <c r="D18" s="3">
        <f t="shared" si="2"/>
        <v>0.5</v>
      </c>
      <c r="E18" s="3">
        <f t="shared" si="2"/>
        <v>0.5</v>
      </c>
      <c r="F18" s="3">
        <f t="shared" si="2"/>
        <v>0.5</v>
      </c>
      <c r="G18" s="3">
        <f t="shared" si="2"/>
        <v>0.5</v>
      </c>
    </row>
    <row r="19" spans="1:7" ht="15.75">
      <c r="A19" t="s">
        <v>494</v>
      </c>
      <c r="B19" s="3">
        <f t="shared" ref="B19:G19" si="3">((B17/(B17-1))*(B11-B12)*B9*(1/B18))</f>
        <v>1.6048444202693877</v>
      </c>
      <c r="C19" s="3">
        <f t="shared" si="3"/>
        <v>2.1739858069391467</v>
      </c>
      <c r="D19" s="3">
        <f t="shared" si="3"/>
        <v>3.0328990578970174</v>
      </c>
      <c r="E19" s="3">
        <f t="shared" si="3"/>
        <v>4.4784609690826551</v>
      </c>
      <c r="F19" s="3">
        <f t="shared" si="3"/>
        <v>7.4234103810133085</v>
      </c>
      <c r="G19" s="3">
        <f t="shared" si="3"/>
        <v>16.713843876330618</v>
      </c>
    </row>
    <row r="20" spans="1:7">
      <c r="A20" t="s">
        <v>104</v>
      </c>
      <c r="B20" s="3">
        <f t="shared" ref="B20:G20" si="4">((B19/(B11-B12))*B18-B9)*((B7/B19)^B17)</f>
        <v>0.51730881169425957</v>
      </c>
      <c r="C20" s="3">
        <f t="shared" si="4"/>
        <v>1.4341589344284387</v>
      </c>
      <c r="D20" s="3">
        <f t="shared" si="4"/>
        <v>2.4357161874792701</v>
      </c>
      <c r="E20" s="3">
        <f t="shared" si="4"/>
        <v>3.5239545495404423</v>
      </c>
      <c r="F20" s="3">
        <f t="shared" si="4"/>
        <v>4.7465021478374245</v>
      </c>
      <c r="G20" s="3">
        <f t="shared" si="4"/>
        <v>6.2209476284969911</v>
      </c>
    </row>
    <row r="43" spans="1:2">
      <c r="A43" s="2" t="s">
        <v>488</v>
      </c>
      <c r="B43">
        <v>0.01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30"/>
  <sheetViews>
    <sheetView workbookViewId="0">
      <selection activeCell="B27" sqref="B27"/>
    </sheetView>
  </sheetViews>
  <sheetFormatPr defaultRowHeight="12.75"/>
  <cols>
    <col min="1" max="1" width="12.140625" customWidth="1"/>
    <col min="3" max="3" width="65.7109375" customWidth="1"/>
  </cols>
  <sheetData>
    <row r="1" spans="1:3" ht="15">
      <c r="A1" s="40" t="s">
        <v>373</v>
      </c>
      <c r="B1" s="40"/>
      <c r="C1" s="40"/>
    </row>
    <row r="3" spans="1:3">
      <c r="A3" t="s">
        <v>2</v>
      </c>
      <c r="B3" s="4">
        <v>0.04</v>
      </c>
    </row>
    <row r="4" spans="1:3">
      <c r="A4" t="s">
        <v>708</v>
      </c>
      <c r="B4" s="4">
        <v>0</v>
      </c>
    </row>
    <row r="5" spans="1:3">
      <c r="A5" t="s">
        <v>34</v>
      </c>
      <c r="B5" s="4">
        <v>0</v>
      </c>
    </row>
    <row r="6" spans="1:3">
      <c r="A6" s="2" t="s">
        <v>5</v>
      </c>
      <c r="B6" s="4">
        <v>0.2</v>
      </c>
    </row>
    <row r="7" spans="1:3" ht="14.25">
      <c r="A7" s="2" t="s">
        <v>374</v>
      </c>
      <c r="B7" s="4">
        <f>+B6^2</f>
        <v>4.0000000000000008E-2</v>
      </c>
    </row>
    <row r="8" spans="1:3">
      <c r="A8" s="2" t="s">
        <v>556</v>
      </c>
      <c r="B8" s="4">
        <v>0.2</v>
      </c>
    </row>
    <row r="9" spans="1:3" ht="14.25">
      <c r="A9" s="2" t="s">
        <v>375</v>
      </c>
      <c r="B9" s="4">
        <f>+B8^2</f>
        <v>4.0000000000000008E-2</v>
      </c>
    </row>
    <row r="10" spans="1:3">
      <c r="A10" s="2" t="s">
        <v>2</v>
      </c>
      <c r="B10" s="4">
        <v>-0.5</v>
      </c>
    </row>
    <row r="11" spans="1:3" ht="14.25">
      <c r="A11" t="s">
        <v>376</v>
      </c>
      <c r="B11" s="193">
        <f>B7+B9+2*B6*B8*B10</f>
        <v>4.0000000000000008E-2</v>
      </c>
      <c r="C11" s="32" t="s">
        <v>377</v>
      </c>
    </row>
    <row r="12" spans="1:3">
      <c r="A12" s="2" t="s">
        <v>562</v>
      </c>
      <c r="B12" s="194">
        <f>0.5-(B4-B5)/(B11)+SQRT(((B4-B5)/(B11)-0.5)^2 + 2*B3/(B11))</f>
        <v>1.9999999999999998</v>
      </c>
      <c r="C12" s="15" t="s">
        <v>378</v>
      </c>
    </row>
    <row r="13" spans="1:3">
      <c r="A13" t="s">
        <v>59</v>
      </c>
      <c r="B13" s="3">
        <v>7.4999999999999997E-2</v>
      </c>
    </row>
    <row r="14" spans="1:3">
      <c r="A14" t="s">
        <v>113</v>
      </c>
      <c r="B14" s="4">
        <v>10</v>
      </c>
    </row>
    <row r="15" spans="1:3">
      <c r="A15" t="s">
        <v>114</v>
      </c>
      <c r="B15" s="3">
        <f>+B14*B13</f>
        <v>0.75</v>
      </c>
    </row>
    <row r="16" spans="1:3">
      <c r="A16" t="s">
        <v>35</v>
      </c>
      <c r="B16">
        <v>12.5</v>
      </c>
    </row>
    <row r="17" spans="1:3" ht="15.75">
      <c r="A17" t="s">
        <v>379</v>
      </c>
      <c r="B17" s="3">
        <f>B12*(B3-B5-B4)*B16/(B12-1)</f>
        <v>1</v>
      </c>
      <c r="C17" s="10" t="s">
        <v>380</v>
      </c>
    </row>
    <row r="18" spans="1:3">
      <c r="A18" t="s">
        <v>306</v>
      </c>
      <c r="B18" s="3">
        <f>B16/(B12-1)*((B15/B17)^B12)</f>
        <v>7.0312500000000036</v>
      </c>
      <c r="C18" s="10" t="s">
        <v>381</v>
      </c>
    </row>
    <row r="19" spans="1:3">
      <c r="A19" t="s">
        <v>129</v>
      </c>
      <c r="B19" s="3">
        <f>B15/(B3-B4-B5)-B16</f>
        <v>6.25</v>
      </c>
      <c r="C19" s="10" t="s">
        <v>382</v>
      </c>
    </row>
    <row r="20" spans="1:3">
      <c r="A20" s="168" t="s">
        <v>383</v>
      </c>
      <c r="B20" s="169">
        <f>IF(B15&lt;B17,B18,B19)</f>
        <v>7.0312500000000036</v>
      </c>
      <c r="C20" s="195" t="s">
        <v>384</v>
      </c>
    </row>
    <row r="21" spans="1:3">
      <c r="A21" s="171" t="s">
        <v>3</v>
      </c>
      <c r="B21">
        <v>1</v>
      </c>
      <c r="C21" s="9" t="s">
        <v>553</v>
      </c>
    </row>
    <row r="22" spans="1:3">
      <c r="A22" s="171" t="s">
        <v>385</v>
      </c>
      <c r="B22" s="171">
        <v>2</v>
      </c>
      <c r="C22" s="9" t="s">
        <v>553</v>
      </c>
    </row>
    <row r="23" spans="1:3">
      <c r="A23" s="171" t="s">
        <v>316</v>
      </c>
      <c r="B23" s="172">
        <f>(B15/B17)^B12*B16*B12/(B12-1)*(B21-B22)+B15*B22/(B3-B5-B4)-B16</f>
        <v>10.937499999999993</v>
      </c>
      <c r="C23" s="10" t="s">
        <v>386</v>
      </c>
    </row>
    <row r="24" spans="1:3">
      <c r="A24" s="171" t="s">
        <v>317</v>
      </c>
      <c r="B24" s="172">
        <f>B15*B21/(B3-B5-B4)</f>
        <v>18.75</v>
      </c>
      <c r="C24" s="10" t="s">
        <v>290</v>
      </c>
    </row>
    <row r="25" spans="1:3">
      <c r="A25" s="168" t="s">
        <v>387</v>
      </c>
      <c r="B25" s="169">
        <f>IF(B15&lt;B17,B23,B24)</f>
        <v>10.937499999999993</v>
      </c>
      <c r="C25" s="10" t="s">
        <v>388</v>
      </c>
    </row>
    <row r="26" spans="1:3" ht="15.75">
      <c r="A26" t="s">
        <v>389</v>
      </c>
      <c r="B26" s="164">
        <v>0.333333346783663</v>
      </c>
    </row>
    <row r="27" spans="1:3">
      <c r="A27" t="s">
        <v>390</v>
      </c>
      <c r="B27" s="196">
        <f>(B26/B17)^B12*B16*B12/(B12-1)*(B21-B22)+B26*B22/(B3-B4-B5)-B16-B16/(B12-1)*(B26/B17)^B12</f>
        <v>3.3625823281369094E-7</v>
      </c>
      <c r="C27" t="s">
        <v>404</v>
      </c>
    </row>
    <row r="28" spans="1:3">
      <c r="A28" t="str">
        <f>A29</f>
        <v>Quadratic</v>
      </c>
      <c r="B28" s="164">
        <f>((-B22/(B3-B4-B5))+SQRT(4*(B16^2)*(2*(B21-B22)-1)+(-B22/(B3-B4-B5))^2))/(2*B16*(2*(B21-B22)-1))</f>
        <v>0.33333333333333331</v>
      </c>
    </row>
    <row r="29" spans="1:3">
      <c r="A29" t="s">
        <v>291</v>
      </c>
      <c r="B29" s="209" t="s">
        <v>292</v>
      </c>
    </row>
    <row r="30" spans="1:3">
      <c r="A30" t="s">
        <v>390</v>
      </c>
      <c r="B30" s="210" t="s">
        <v>293</v>
      </c>
      <c r="C30" s="10"/>
    </row>
  </sheetData>
  <phoneticPr fontId="8" type="noConversion"/>
  <printOptions horizontalCentered="1" headings="1"/>
  <pageMargins left="0.74803149606299213" right="0.74803149606299213" top="0.98425196850393704" bottom="0.98425196850393704" header="0.51181102362204722" footer="0.51181102362204722"/>
  <pageSetup paperSize="9" scale="95" orientation="portrait" horizontalDpi="0" verticalDpi="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dimension ref="A1:M26"/>
  <sheetViews>
    <sheetView topLeftCell="A19" workbookViewId="0">
      <selection activeCell="M50" sqref="M50"/>
    </sheetView>
  </sheetViews>
  <sheetFormatPr defaultRowHeight="12.75"/>
  <cols>
    <col min="1" max="1" width="11.28515625" customWidth="1"/>
    <col min="13" max="13" width="44.85546875" bestFit="1" customWidth="1"/>
  </cols>
  <sheetData>
    <row r="1" spans="1:13" ht="14.25">
      <c r="A1" t="s">
        <v>2</v>
      </c>
      <c r="B1">
        <v>0.05</v>
      </c>
      <c r="C1">
        <v>0.05</v>
      </c>
      <c r="D1">
        <v>0.05</v>
      </c>
      <c r="E1">
        <v>0.05</v>
      </c>
      <c r="F1">
        <v>0.05</v>
      </c>
      <c r="G1">
        <v>0.05</v>
      </c>
      <c r="H1">
        <v>0.05</v>
      </c>
      <c r="I1">
        <v>0.05</v>
      </c>
      <c r="J1">
        <v>0.05</v>
      </c>
      <c r="K1">
        <v>0.05</v>
      </c>
      <c r="L1">
        <v>0.05</v>
      </c>
      <c r="M1" s="166" t="s">
        <v>553</v>
      </c>
    </row>
    <row r="2" spans="1:13">
      <c r="A2" t="s">
        <v>708</v>
      </c>
      <c r="B2">
        <v>0.01</v>
      </c>
      <c r="C2">
        <f>+B2</f>
        <v>0.01</v>
      </c>
      <c r="D2">
        <f t="shared" ref="D2:L2" si="0">+C2</f>
        <v>0.01</v>
      </c>
      <c r="E2">
        <f t="shared" si="0"/>
        <v>0.01</v>
      </c>
      <c r="F2">
        <f t="shared" si="0"/>
        <v>0.01</v>
      </c>
      <c r="G2">
        <f t="shared" si="0"/>
        <v>0.01</v>
      </c>
      <c r="H2">
        <f t="shared" si="0"/>
        <v>0.01</v>
      </c>
      <c r="I2">
        <f t="shared" si="0"/>
        <v>0.01</v>
      </c>
      <c r="J2">
        <f t="shared" si="0"/>
        <v>0.01</v>
      </c>
      <c r="K2">
        <f t="shared" si="0"/>
        <v>0.01</v>
      </c>
      <c r="L2">
        <f t="shared" si="0"/>
        <v>0.01</v>
      </c>
      <c r="M2" s="167" t="s">
        <v>553</v>
      </c>
    </row>
    <row r="3" spans="1:13">
      <c r="A3" t="s">
        <v>562</v>
      </c>
      <c r="B3">
        <v>0.01</v>
      </c>
      <c r="C3">
        <v>0.01</v>
      </c>
      <c r="D3">
        <v>0.01</v>
      </c>
      <c r="E3">
        <v>0.01</v>
      </c>
      <c r="F3">
        <v>0.01</v>
      </c>
      <c r="G3">
        <v>0.01</v>
      </c>
      <c r="H3">
        <v>0.01</v>
      </c>
      <c r="I3">
        <v>0.01</v>
      </c>
      <c r="J3">
        <v>0.01</v>
      </c>
      <c r="K3">
        <v>0.01</v>
      </c>
      <c r="L3">
        <v>0.01</v>
      </c>
      <c r="M3" s="167" t="s">
        <v>553</v>
      </c>
    </row>
    <row r="4" spans="1:13">
      <c r="A4" t="s">
        <v>5</v>
      </c>
      <c r="B4">
        <v>0.1</v>
      </c>
      <c r="C4">
        <v>0.1</v>
      </c>
      <c r="D4">
        <v>0.1</v>
      </c>
      <c r="E4">
        <v>0.1</v>
      </c>
      <c r="F4">
        <v>0.1</v>
      </c>
      <c r="G4">
        <v>0.1</v>
      </c>
      <c r="H4">
        <v>0.1</v>
      </c>
      <c r="I4">
        <v>0.1</v>
      </c>
      <c r="J4">
        <v>0.1</v>
      </c>
      <c r="K4">
        <v>0.1</v>
      </c>
      <c r="L4">
        <v>0.1</v>
      </c>
      <c r="M4" s="167" t="s">
        <v>553</v>
      </c>
    </row>
    <row r="5" spans="1:13">
      <c r="A5" t="s">
        <v>309</v>
      </c>
      <c r="B5">
        <f t="shared" ref="B5:L5" si="1">+B4^2</f>
        <v>1.0000000000000002E-2</v>
      </c>
      <c r="C5">
        <f t="shared" si="1"/>
        <v>1.0000000000000002E-2</v>
      </c>
      <c r="D5">
        <f t="shared" si="1"/>
        <v>1.0000000000000002E-2</v>
      </c>
      <c r="E5">
        <f t="shared" si="1"/>
        <v>1.0000000000000002E-2</v>
      </c>
      <c r="F5">
        <f t="shared" si="1"/>
        <v>1.0000000000000002E-2</v>
      </c>
      <c r="G5">
        <f t="shared" si="1"/>
        <v>1.0000000000000002E-2</v>
      </c>
      <c r="H5">
        <f t="shared" si="1"/>
        <v>1.0000000000000002E-2</v>
      </c>
      <c r="I5">
        <f t="shared" si="1"/>
        <v>1.0000000000000002E-2</v>
      </c>
      <c r="J5">
        <f t="shared" si="1"/>
        <v>1.0000000000000002E-2</v>
      </c>
      <c r="K5">
        <f t="shared" si="1"/>
        <v>1.0000000000000002E-2</v>
      </c>
      <c r="L5">
        <f t="shared" si="1"/>
        <v>1.0000000000000002E-2</v>
      </c>
      <c r="M5" s="167" t="s">
        <v>319</v>
      </c>
    </row>
    <row r="6" spans="1:13">
      <c r="A6" t="s">
        <v>556</v>
      </c>
      <c r="B6">
        <v>0.2</v>
      </c>
      <c r="C6">
        <v>0.2</v>
      </c>
      <c r="D6">
        <v>0.2</v>
      </c>
      <c r="E6">
        <v>0.2</v>
      </c>
      <c r="F6">
        <v>0.2</v>
      </c>
      <c r="G6">
        <v>0.2</v>
      </c>
      <c r="H6">
        <v>0.2</v>
      </c>
      <c r="I6">
        <v>0.2</v>
      </c>
      <c r="J6">
        <v>0.2</v>
      </c>
      <c r="K6">
        <v>0.2</v>
      </c>
      <c r="L6">
        <v>0.2</v>
      </c>
      <c r="M6" s="167" t="s">
        <v>553</v>
      </c>
    </row>
    <row r="7" spans="1:13">
      <c r="A7" t="s">
        <v>310</v>
      </c>
      <c r="B7">
        <f t="shared" ref="B7:L7" si="2">+B6^2</f>
        <v>4.0000000000000008E-2</v>
      </c>
      <c r="C7">
        <f t="shared" si="2"/>
        <v>4.0000000000000008E-2</v>
      </c>
      <c r="D7">
        <f t="shared" si="2"/>
        <v>4.0000000000000008E-2</v>
      </c>
      <c r="E7">
        <f t="shared" si="2"/>
        <v>4.0000000000000008E-2</v>
      </c>
      <c r="F7">
        <f t="shared" si="2"/>
        <v>4.0000000000000008E-2</v>
      </c>
      <c r="G7">
        <f t="shared" si="2"/>
        <v>4.0000000000000008E-2</v>
      </c>
      <c r="H7">
        <f t="shared" si="2"/>
        <v>4.0000000000000008E-2</v>
      </c>
      <c r="I7">
        <f t="shared" si="2"/>
        <v>4.0000000000000008E-2</v>
      </c>
      <c r="J7">
        <f t="shared" si="2"/>
        <v>4.0000000000000008E-2</v>
      </c>
      <c r="K7">
        <f t="shared" si="2"/>
        <v>4.0000000000000008E-2</v>
      </c>
      <c r="L7">
        <f t="shared" si="2"/>
        <v>4.0000000000000008E-2</v>
      </c>
      <c r="M7" s="167" t="s">
        <v>320</v>
      </c>
    </row>
    <row r="8" spans="1:13">
      <c r="A8" t="s">
        <v>312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 s="167" t="s">
        <v>553</v>
      </c>
    </row>
    <row r="9" spans="1:13">
      <c r="A9" t="s">
        <v>311</v>
      </c>
      <c r="B9">
        <f t="shared" ref="B9:L9" si="3">+B5+B7+B8+2*B4*B6*B8</f>
        <v>5.000000000000001E-2</v>
      </c>
      <c r="C9">
        <f t="shared" si="3"/>
        <v>5.000000000000001E-2</v>
      </c>
      <c r="D9">
        <f t="shared" si="3"/>
        <v>5.000000000000001E-2</v>
      </c>
      <c r="E9">
        <f t="shared" si="3"/>
        <v>5.000000000000001E-2</v>
      </c>
      <c r="F9">
        <f t="shared" si="3"/>
        <v>5.000000000000001E-2</v>
      </c>
      <c r="G9">
        <f t="shared" si="3"/>
        <v>5.000000000000001E-2</v>
      </c>
      <c r="H9">
        <f t="shared" si="3"/>
        <v>5.000000000000001E-2</v>
      </c>
      <c r="I9">
        <f t="shared" si="3"/>
        <v>5.000000000000001E-2</v>
      </c>
      <c r="J9">
        <f t="shared" si="3"/>
        <v>5.000000000000001E-2</v>
      </c>
      <c r="K9">
        <f t="shared" si="3"/>
        <v>5.000000000000001E-2</v>
      </c>
      <c r="L9">
        <f t="shared" si="3"/>
        <v>5.000000000000001E-2</v>
      </c>
      <c r="M9" s="167" t="s">
        <v>321</v>
      </c>
    </row>
    <row r="10" spans="1:13">
      <c r="A10" t="s">
        <v>315</v>
      </c>
      <c r="B10" s="3">
        <f t="shared" ref="B10:L10" si="4">1/B9*(-(B4*B6*B8+B2+B3-B9/2)+SQRT((B4*B6*B8+B2+B3-B9/2)^2+2*B1*B9))</f>
        <v>1.5177446878757825</v>
      </c>
      <c r="C10" s="3">
        <f t="shared" si="4"/>
        <v>1.5177446878757825</v>
      </c>
      <c r="D10" s="3">
        <f t="shared" si="4"/>
        <v>1.5177446878757825</v>
      </c>
      <c r="E10" s="3">
        <f t="shared" si="4"/>
        <v>1.5177446878757825</v>
      </c>
      <c r="F10" s="3">
        <f t="shared" si="4"/>
        <v>1.5177446878757825</v>
      </c>
      <c r="G10" s="3">
        <f t="shared" si="4"/>
        <v>1.5177446878757825</v>
      </c>
      <c r="H10" s="3">
        <f t="shared" si="4"/>
        <v>1.5177446878757825</v>
      </c>
      <c r="I10" s="3">
        <f t="shared" si="4"/>
        <v>1.5177446878757825</v>
      </c>
      <c r="J10" s="3">
        <f t="shared" si="4"/>
        <v>1.5177446878757825</v>
      </c>
      <c r="K10" s="3">
        <f t="shared" si="4"/>
        <v>1.5177446878757825</v>
      </c>
      <c r="L10" s="3">
        <f t="shared" si="4"/>
        <v>1.5177446878757825</v>
      </c>
      <c r="M10" s="167" t="s">
        <v>322</v>
      </c>
    </row>
    <row r="11" spans="1:13">
      <c r="A11" t="s">
        <v>59</v>
      </c>
      <c r="B11" s="3">
        <v>0.01</v>
      </c>
      <c r="C11" s="3">
        <v>0.01</v>
      </c>
      <c r="D11" s="3">
        <v>0.01</v>
      </c>
      <c r="E11" s="3">
        <v>0.01</v>
      </c>
      <c r="F11" s="3">
        <v>0.01</v>
      </c>
      <c r="G11" s="3">
        <v>0.01</v>
      </c>
      <c r="H11" s="3">
        <v>0.01</v>
      </c>
      <c r="I11" s="3">
        <v>0.01</v>
      </c>
      <c r="J11" s="3">
        <v>0.01</v>
      </c>
      <c r="K11" s="3">
        <v>0.01</v>
      </c>
      <c r="L11" s="3">
        <v>0.01</v>
      </c>
      <c r="M11" s="167" t="s">
        <v>553</v>
      </c>
    </row>
    <row r="12" spans="1:13">
      <c r="A12" t="s">
        <v>113</v>
      </c>
      <c r="B12" s="8">
        <v>5.0000000000000004E-6</v>
      </c>
      <c r="C12" s="4">
        <v>5</v>
      </c>
      <c r="D12" s="4">
        <f>+C12+5</f>
        <v>10</v>
      </c>
      <c r="E12" s="4">
        <f t="shared" ref="E12:L12" si="5">+D12+5</f>
        <v>15</v>
      </c>
      <c r="F12" s="4">
        <f t="shared" si="5"/>
        <v>20</v>
      </c>
      <c r="G12" s="4">
        <f t="shared" si="5"/>
        <v>25</v>
      </c>
      <c r="H12" s="4">
        <f t="shared" si="5"/>
        <v>30</v>
      </c>
      <c r="I12" s="4">
        <f t="shared" si="5"/>
        <v>35</v>
      </c>
      <c r="J12" s="4">
        <f t="shared" si="5"/>
        <v>40</v>
      </c>
      <c r="K12" s="4">
        <f t="shared" si="5"/>
        <v>45</v>
      </c>
      <c r="L12" s="4">
        <f t="shared" si="5"/>
        <v>50</v>
      </c>
      <c r="M12" s="167" t="s">
        <v>553</v>
      </c>
    </row>
    <row r="13" spans="1:13">
      <c r="A13" t="s">
        <v>114</v>
      </c>
      <c r="B13" s="3">
        <f t="shared" ref="B13:L13" si="6">+B12*B11</f>
        <v>5.0000000000000004E-8</v>
      </c>
      <c r="C13" s="3">
        <f t="shared" si="6"/>
        <v>0.05</v>
      </c>
      <c r="D13" s="3">
        <f t="shared" si="6"/>
        <v>0.1</v>
      </c>
      <c r="E13" s="3">
        <f t="shared" si="6"/>
        <v>0.15</v>
      </c>
      <c r="F13" s="3">
        <f t="shared" si="6"/>
        <v>0.2</v>
      </c>
      <c r="G13" s="3">
        <f t="shared" si="6"/>
        <v>0.25</v>
      </c>
      <c r="H13" s="3">
        <f t="shared" si="6"/>
        <v>0.3</v>
      </c>
      <c r="I13" s="3">
        <f t="shared" si="6"/>
        <v>0.35000000000000003</v>
      </c>
      <c r="J13" s="3">
        <f t="shared" si="6"/>
        <v>0.4</v>
      </c>
      <c r="K13" s="3">
        <f t="shared" si="6"/>
        <v>0.45</v>
      </c>
      <c r="L13" s="3">
        <f t="shared" si="6"/>
        <v>0.5</v>
      </c>
      <c r="M13" s="167" t="s">
        <v>323</v>
      </c>
    </row>
    <row r="14" spans="1:13">
      <c r="A14" t="s">
        <v>314</v>
      </c>
      <c r="B14">
        <v>5</v>
      </c>
      <c r="C14">
        <v>5</v>
      </c>
      <c r="D14">
        <v>5</v>
      </c>
      <c r="E14">
        <v>5</v>
      </c>
      <c r="F14">
        <v>5</v>
      </c>
      <c r="G14">
        <v>5</v>
      </c>
      <c r="H14">
        <v>5</v>
      </c>
      <c r="I14">
        <v>5</v>
      </c>
      <c r="J14">
        <v>5</v>
      </c>
      <c r="K14">
        <v>5</v>
      </c>
      <c r="L14">
        <v>5</v>
      </c>
      <c r="M14" s="167" t="s">
        <v>553</v>
      </c>
    </row>
    <row r="15" spans="1:13">
      <c r="A15" t="s">
        <v>313</v>
      </c>
      <c r="B15" s="3">
        <f>+B10*(B1-B3-B2)*B14/(B10-1)</f>
        <v>0.43971808598447282</v>
      </c>
      <c r="C15" s="3">
        <f t="shared" ref="C15:L15" si="7">+C10*(C1-C3-C2)*C14/(C10-1)</f>
        <v>0.43971808598447282</v>
      </c>
      <c r="D15" s="3">
        <f t="shared" si="7"/>
        <v>0.43971808598447282</v>
      </c>
      <c r="E15" s="3">
        <f t="shared" si="7"/>
        <v>0.43971808598447282</v>
      </c>
      <c r="F15" s="3">
        <f t="shared" si="7"/>
        <v>0.43971808598447282</v>
      </c>
      <c r="G15" s="3">
        <f t="shared" si="7"/>
        <v>0.43971808598447282</v>
      </c>
      <c r="H15" s="3">
        <f t="shared" si="7"/>
        <v>0.43971808598447282</v>
      </c>
      <c r="I15" s="3">
        <f t="shared" si="7"/>
        <v>0.43971808598447282</v>
      </c>
      <c r="J15" s="3">
        <f t="shared" si="7"/>
        <v>0.43971808598447282</v>
      </c>
      <c r="K15" s="3">
        <f t="shared" si="7"/>
        <v>0.43971808598447282</v>
      </c>
      <c r="L15" s="3">
        <f t="shared" si="7"/>
        <v>0.43971808598447282</v>
      </c>
      <c r="M15" s="167" t="s">
        <v>324</v>
      </c>
    </row>
    <row r="16" spans="1:13">
      <c r="A16" t="s">
        <v>306</v>
      </c>
      <c r="B16" s="3">
        <f t="shared" ref="B16:L16" si="8">+B14/(B10-1)*((B13/B15)^B10)</f>
        <v>2.7882077341253345E-10</v>
      </c>
      <c r="C16" s="3">
        <f t="shared" si="8"/>
        <v>0.35628148580848801</v>
      </c>
      <c r="D16" s="3">
        <f t="shared" si="8"/>
        <v>1.020187344106138</v>
      </c>
      <c r="E16" s="3">
        <f t="shared" si="8"/>
        <v>1.8877370715464308</v>
      </c>
      <c r="F16" s="3">
        <f t="shared" si="8"/>
        <v>2.9212357602937202</v>
      </c>
      <c r="G16" s="3">
        <f t="shared" si="8"/>
        <v>4.0987484539442738</v>
      </c>
      <c r="H16" s="3">
        <f t="shared" si="8"/>
        <v>5.4054042831370994</v>
      </c>
      <c r="I16" s="3">
        <f t="shared" si="8"/>
        <v>6.8302455302210818</v>
      </c>
      <c r="J16" s="3">
        <f t="shared" si="8"/>
        <v>8.3647561563271235</v>
      </c>
      <c r="K16" s="3">
        <f t="shared" si="8"/>
        <v>10.002066885974001</v>
      </c>
      <c r="L16" s="3">
        <f t="shared" si="8"/>
        <v>11.736482152306458</v>
      </c>
      <c r="M16" s="167" t="s">
        <v>325</v>
      </c>
    </row>
    <row r="17" spans="1:13">
      <c r="A17" t="s">
        <v>129</v>
      </c>
      <c r="B17" s="3">
        <f>+B13/(B1-B2-B3)-B14</f>
        <v>-4.9999983333333331</v>
      </c>
      <c r="C17" s="3">
        <f t="shared" ref="C17:L17" si="9">+C13/(C1-C2-C3)-C14</f>
        <v>-3.333333333333333</v>
      </c>
      <c r="D17" s="3">
        <f t="shared" si="9"/>
        <v>-1.6666666666666665</v>
      </c>
      <c r="E17" s="3">
        <f t="shared" si="9"/>
        <v>0</v>
      </c>
      <c r="F17" s="3">
        <f t="shared" si="9"/>
        <v>1.666666666666667</v>
      </c>
      <c r="G17" s="3">
        <f t="shared" si="9"/>
        <v>3.3333333333333339</v>
      </c>
      <c r="H17" s="3">
        <f t="shared" si="9"/>
        <v>5</v>
      </c>
      <c r="I17" s="3">
        <f t="shared" si="9"/>
        <v>6.6666666666666679</v>
      </c>
      <c r="J17" s="3">
        <f t="shared" si="9"/>
        <v>8.3333333333333339</v>
      </c>
      <c r="K17" s="3">
        <f t="shared" si="9"/>
        <v>10.000000000000002</v>
      </c>
      <c r="L17" s="3">
        <f t="shared" si="9"/>
        <v>11.666666666666668</v>
      </c>
      <c r="M17" s="167" t="s">
        <v>326</v>
      </c>
    </row>
    <row r="18" spans="1:13">
      <c r="A18" s="168" t="s">
        <v>307</v>
      </c>
      <c r="B18" s="169">
        <f t="shared" ref="B18:L18" si="10">IF(B13&lt;B15,B16,B17)</f>
        <v>2.7882077341253345E-10</v>
      </c>
      <c r="C18" s="169">
        <f t="shared" si="10"/>
        <v>0.35628148580848801</v>
      </c>
      <c r="D18" s="169">
        <f t="shared" si="10"/>
        <v>1.020187344106138</v>
      </c>
      <c r="E18" s="169">
        <f t="shared" si="10"/>
        <v>1.8877370715464308</v>
      </c>
      <c r="F18" s="169">
        <f t="shared" si="10"/>
        <v>2.9212357602937202</v>
      </c>
      <c r="G18" s="169">
        <f t="shared" si="10"/>
        <v>4.0987484539442738</v>
      </c>
      <c r="H18" s="169">
        <f t="shared" si="10"/>
        <v>5.4054042831370994</v>
      </c>
      <c r="I18" s="169">
        <f t="shared" si="10"/>
        <v>6.8302455302210818</v>
      </c>
      <c r="J18" s="169">
        <f t="shared" si="10"/>
        <v>8.3647561563271235</v>
      </c>
      <c r="K18" s="169">
        <f t="shared" si="10"/>
        <v>10.000000000000002</v>
      </c>
      <c r="L18" s="169">
        <f t="shared" si="10"/>
        <v>11.666666666666668</v>
      </c>
      <c r="M18" s="170" t="s">
        <v>327</v>
      </c>
    </row>
    <row r="19" spans="1:13">
      <c r="A19" s="171" t="s">
        <v>3</v>
      </c>
      <c r="B19">
        <v>1.05</v>
      </c>
      <c r="C19">
        <v>1.05</v>
      </c>
      <c r="D19">
        <v>1.05</v>
      </c>
      <c r="E19">
        <v>1.05</v>
      </c>
      <c r="F19">
        <v>1.05</v>
      </c>
      <c r="G19">
        <v>1.05</v>
      </c>
      <c r="H19">
        <v>1.05</v>
      </c>
      <c r="I19">
        <v>1.05</v>
      </c>
      <c r="J19">
        <v>1.05</v>
      </c>
      <c r="K19">
        <v>1.05</v>
      </c>
      <c r="L19">
        <v>1.05</v>
      </c>
      <c r="M19" s="167" t="s">
        <v>553</v>
      </c>
    </row>
    <row r="20" spans="1:13">
      <c r="A20" s="171" t="s">
        <v>318</v>
      </c>
      <c r="B20" s="171">
        <v>2.0499999999999998</v>
      </c>
      <c r="C20" s="171">
        <f>+B20</f>
        <v>2.0499999999999998</v>
      </c>
      <c r="D20" s="171">
        <f t="shared" ref="D20:L20" si="11">+C20</f>
        <v>2.0499999999999998</v>
      </c>
      <c r="E20" s="171">
        <f t="shared" si="11"/>
        <v>2.0499999999999998</v>
      </c>
      <c r="F20" s="171">
        <f t="shared" si="11"/>
        <v>2.0499999999999998</v>
      </c>
      <c r="G20" s="171">
        <f t="shared" si="11"/>
        <v>2.0499999999999998</v>
      </c>
      <c r="H20" s="171">
        <f t="shared" si="11"/>
        <v>2.0499999999999998</v>
      </c>
      <c r="I20" s="171">
        <f t="shared" si="11"/>
        <v>2.0499999999999998</v>
      </c>
      <c r="J20" s="171">
        <f t="shared" si="11"/>
        <v>2.0499999999999998</v>
      </c>
      <c r="K20" s="171">
        <f t="shared" si="11"/>
        <v>2.0499999999999998</v>
      </c>
      <c r="L20" s="171">
        <f t="shared" si="11"/>
        <v>2.0499999999999998</v>
      </c>
      <c r="M20" s="167" t="s">
        <v>553</v>
      </c>
    </row>
    <row r="21" spans="1:13">
      <c r="A21" s="171" t="s">
        <v>316</v>
      </c>
      <c r="B21" s="172">
        <f>+(B13/B15)^B10*B14*B10/(B10-1)*(B19-B20)+B13*B20/(B1-B3-B2)-B14</f>
        <v>-4.9999965837565119</v>
      </c>
      <c r="C21" s="172">
        <f t="shared" ref="C21:L21" si="12">+(C13/C15)^C10*C14*C10/(C10-1)*(C19-C20)+C13*C20/(C1-C3-C2)-C14</f>
        <v>-2.1240776658076572</v>
      </c>
      <c r="D21" s="172">
        <f t="shared" si="12"/>
        <v>0.28494941117813966</v>
      </c>
      <c r="E21" s="172">
        <f t="shared" si="12"/>
        <v>2.3848970875542186</v>
      </c>
      <c r="F21" s="172">
        <f t="shared" si="12"/>
        <v>4.2329766094481016</v>
      </c>
      <c r="G21" s="172">
        <f t="shared" si="12"/>
        <v>5.8624796404203359</v>
      </c>
      <c r="H21" s="172">
        <f t="shared" si="12"/>
        <v>7.2959763634476644</v>
      </c>
      <c r="I21" s="172">
        <f t="shared" si="12"/>
        <v>8.5500977962863161</v>
      </c>
      <c r="J21" s="172">
        <f t="shared" si="12"/>
        <v>9.6377691116915987</v>
      </c>
      <c r="K21" s="172">
        <f t="shared" si="12"/>
        <v>10.569416116034693</v>
      </c>
      <c r="L21" s="172">
        <f t="shared" si="12"/>
        <v>11.35368322565461</v>
      </c>
      <c r="M21" s="167" t="s">
        <v>353</v>
      </c>
    </row>
    <row r="22" spans="1:13">
      <c r="A22" s="171" t="s">
        <v>317</v>
      </c>
      <c r="B22" s="172">
        <f>+B13*B19/(B1-B3-B2)-B14</f>
        <v>-4.99999825</v>
      </c>
      <c r="C22" s="172">
        <f t="shared" ref="C22:L22" si="13">+C13*C19/(C1-C3-C2)-C14</f>
        <v>-3.25</v>
      </c>
      <c r="D22" s="172">
        <f t="shared" si="13"/>
        <v>-1.4999999999999996</v>
      </c>
      <c r="E22" s="172">
        <f t="shared" si="13"/>
        <v>0.25</v>
      </c>
      <c r="F22" s="172">
        <f t="shared" si="13"/>
        <v>2.0000000000000009</v>
      </c>
      <c r="G22" s="172">
        <f t="shared" si="13"/>
        <v>3.75</v>
      </c>
      <c r="H22" s="172">
        <f t="shared" si="13"/>
        <v>5.5</v>
      </c>
      <c r="I22" s="172">
        <f t="shared" si="13"/>
        <v>7.2500000000000018</v>
      </c>
      <c r="J22" s="172">
        <f t="shared" si="13"/>
        <v>9.0000000000000018</v>
      </c>
      <c r="K22" s="172">
        <f t="shared" si="13"/>
        <v>10.750000000000002</v>
      </c>
      <c r="L22" s="172">
        <f t="shared" si="13"/>
        <v>12.5</v>
      </c>
      <c r="M22" s="167" t="s">
        <v>354</v>
      </c>
    </row>
    <row r="23" spans="1:13">
      <c r="A23" s="168" t="s">
        <v>308</v>
      </c>
      <c r="B23" s="169">
        <f t="shared" ref="B23:L23" si="14">IF(B13&lt;B15,B21,B22)</f>
        <v>-4.9999965837565119</v>
      </c>
      <c r="C23" s="169">
        <f t="shared" si="14"/>
        <v>-2.1240776658076572</v>
      </c>
      <c r="D23" s="169">
        <f t="shared" si="14"/>
        <v>0.28494941117813966</v>
      </c>
      <c r="E23" s="169">
        <f t="shared" si="14"/>
        <v>2.3848970875542186</v>
      </c>
      <c r="F23" s="169">
        <f t="shared" si="14"/>
        <v>4.2329766094481016</v>
      </c>
      <c r="G23" s="169">
        <f t="shared" si="14"/>
        <v>5.8624796404203359</v>
      </c>
      <c r="H23" s="169">
        <f t="shared" si="14"/>
        <v>7.2959763634476644</v>
      </c>
      <c r="I23" s="169">
        <f t="shared" si="14"/>
        <v>8.5500977962863161</v>
      </c>
      <c r="J23" s="169">
        <f t="shared" si="14"/>
        <v>9.6377691116915987</v>
      </c>
      <c r="K23" s="169">
        <f t="shared" si="14"/>
        <v>10.750000000000002</v>
      </c>
      <c r="L23" s="169">
        <f t="shared" si="14"/>
        <v>12.5</v>
      </c>
      <c r="M23" s="170" t="s">
        <v>355</v>
      </c>
    </row>
    <row r="24" spans="1:13">
      <c r="A24" s="168"/>
      <c r="B24" s="169"/>
      <c r="C24" s="169"/>
      <c r="D24" s="169"/>
      <c r="E24" s="169"/>
      <c r="F24" s="169"/>
      <c r="G24" s="172"/>
      <c r="H24" s="172"/>
      <c r="I24" s="172"/>
      <c r="J24" s="172"/>
      <c r="K24" s="172"/>
      <c r="L24" s="172"/>
      <c r="M24" s="167"/>
    </row>
    <row r="25" spans="1:13">
      <c r="A25" s="171" t="str">
        <f>+A18</f>
        <v>Follower</v>
      </c>
      <c r="B25" s="173">
        <f t="shared" ref="B25:L25" si="15">+B18</f>
        <v>2.7882077341253345E-10</v>
      </c>
      <c r="C25" s="173">
        <f t="shared" si="15"/>
        <v>0.35628148580848801</v>
      </c>
      <c r="D25" s="173">
        <f t="shared" si="15"/>
        <v>1.020187344106138</v>
      </c>
      <c r="E25" s="173">
        <f t="shared" si="15"/>
        <v>1.8877370715464308</v>
      </c>
      <c r="F25" s="173">
        <f t="shared" si="15"/>
        <v>2.9212357602937202</v>
      </c>
      <c r="G25" s="173">
        <f t="shared" si="15"/>
        <v>4.0987484539442738</v>
      </c>
      <c r="H25" s="173">
        <f t="shared" si="15"/>
        <v>5.4054042831370994</v>
      </c>
      <c r="I25" s="173">
        <f t="shared" si="15"/>
        <v>6.8302455302210818</v>
      </c>
      <c r="J25" s="173">
        <f t="shared" si="15"/>
        <v>8.3647561563271235</v>
      </c>
      <c r="K25" s="173">
        <f t="shared" si="15"/>
        <v>10.000000000000002</v>
      </c>
      <c r="L25" s="173">
        <f t="shared" si="15"/>
        <v>11.666666666666668</v>
      </c>
      <c r="M25" s="167" t="str">
        <f>+M18</f>
        <v>IF(N13&lt;N15,N16,N17)</v>
      </c>
    </row>
    <row r="26" spans="1:13">
      <c r="A26" s="171" t="str">
        <f>+A23</f>
        <v>Leader</v>
      </c>
      <c r="B26" s="173">
        <f t="shared" ref="B26:L26" si="16">+B23</f>
        <v>-4.9999965837565119</v>
      </c>
      <c r="C26" s="173">
        <f t="shared" si="16"/>
        <v>-2.1240776658076572</v>
      </c>
      <c r="D26" s="173">
        <f t="shared" si="16"/>
        <v>0.28494941117813966</v>
      </c>
      <c r="E26" s="173">
        <f t="shared" si="16"/>
        <v>2.3848970875542186</v>
      </c>
      <c r="F26" s="173">
        <f t="shared" si="16"/>
        <v>4.2329766094481016</v>
      </c>
      <c r="G26" s="173">
        <f t="shared" si="16"/>
        <v>5.8624796404203359</v>
      </c>
      <c r="H26" s="173">
        <f t="shared" si="16"/>
        <v>7.2959763634476644</v>
      </c>
      <c r="I26" s="173">
        <f t="shared" si="16"/>
        <v>8.5500977962863161</v>
      </c>
      <c r="J26" s="173">
        <f t="shared" si="16"/>
        <v>9.6377691116915987</v>
      </c>
      <c r="K26" s="173">
        <f t="shared" si="16"/>
        <v>10.750000000000002</v>
      </c>
      <c r="L26" s="173">
        <f t="shared" si="16"/>
        <v>12.5</v>
      </c>
      <c r="M26" s="167" t="str">
        <f>+M23</f>
        <v>IF(N13&lt;N15,N21,N22)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35"/>
  <sheetViews>
    <sheetView topLeftCell="A10" workbookViewId="0">
      <selection activeCell="B29" sqref="B29"/>
    </sheetView>
  </sheetViews>
  <sheetFormatPr defaultRowHeight="12.75"/>
  <cols>
    <col min="1" max="1" width="16.7109375" customWidth="1"/>
    <col min="2" max="2" width="22.140625" bestFit="1" customWidth="1"/>
    <col min="3" max="3" width="52.140625" customWidth="1"/>
  </cols>
  <sheetData>
    <row r="1" spans="1:3" ht="15">
      <c r="A1" s="40" t="s">
        <v>405</v>
      </c>
      <c r="B1" s="52"/>
      <c r="C1" s="52"/>
    </row>
    <row r="2" spans="1:3">
      <c r="A2" t="s">
        <v>553</v>
      </c>
    </row>
    <row r="3" spans="1:3">
      <c r="A3" s="41" t="s">
        <v>406</v>
      </c>
      <c r="B3" s="197">
        <v>0.05</v>
      </c>
      <c r="C3" s="42"/>
    </row>
    <row r="4" spans="1:3">
      <c r="A4" s="43" t="s">
        <v>407</v>
      </c>
      <c r="B4" s="198">
        <v>0.03</v>
      </c>
      <c r="C4" s="44"/>
    </row>
    <row r="5" spans="1:3">
      <c r="A5" s="43" t="s">
        <v>408</v>
      </c>
      <c r="B5" s="198">
        <v>0.03</v>
      </c>
      <c r="C5" s="44"/>
    </row>
    <row r="6" spans="1:3">
      <c r="A6" s="43" t="s">
        <v>409</v>
      </c>
      <c r="B6" s="199">
        <v>0.5</v>
      </c>
      <c r="C6" s="44"/>
    </row>
    <row r="7" spans="1:3">
      <c r="A7" s="43" t="s">
        <v>410</v>
      </c>
      <c r="B7" s="199">
        <v>0.5</v>
      </c>
      <c r="C7" s="44"/>
    </row>
    <row r="8" spans="1:3">
      <c r="A8" s="43" t="s">
        <v>411</v>
      </c>
      <c r="B8" s="199">
        <v>0</v>
      </c>
      <c r="C8" s="44"/>
    </row>
    <row r="9" spans="1:3" ht="14.25">
      <c r="A9" s="162" t="s">
        <v>412</v>
      </c>
      <c r="B9" s="47">
        <f>+B6^2</f>
        <v>0.25</v>
      </c>
      <c r="C9" s="44"/>
    </row>
    <row r="10" spans="1:3" ht="14.25">
      <c r="A10" s="162" t="s">
        <v>413</v>
      </c>
      <c r="B10" s="47">
        <f>+B7^2</f>
        <v>0.25</v>
      </c>
      <c r="C10" s="44"/>
    </row>
    <row r="11" spans="1:3" ht="14.25">
      <c r="A11" s="162" t="s">
        <v>414</v>
      </c>
      <c r="B11" s="47">
        <f>B9+B10-2*B6*B7*B8</f>
        <v>0.5</v>
      </c>
      <c r="C11" s="200" t="s">
        <v>415</v>
      </c>
    </row>
    <row r="12" spans="1:3" ht="14.25">
      <c r="A12" s="162" t="s">
        <v>416</v>
      </c>
      <c r="B12" s="47">
        <f>0.5+(B5-B4)/B11+SQRT(((B5-B4)/B11-0.5)^2+2*B5/B11)</f>
        <v>1.108276253029822</v>
      </c>
      <c r="C12" s="219" t="s">
        <v>156</v>
      </c>
    </row>
    <row r="13" spans="1:3">
      <c r="A13" s="43" t="s">
        <v>417</v>
      </c>
      <c r="B13" s="199">
        <v>1219.6320000000001</v>
      </c>
      <c r="C13" s="201" t="s">
        <v>553</v>
      </c>
    </row>
    <row r="14" spans="1:3">
      <c r="A14" s="43" t="s">
        <v>294</v>
      </c>
      <c r="B14" s="47">
        <f>B13*(B3-B4)</f>
        <v>24.392640000000007</v>
      </c>
      <c r="C14" s="219" t="s">
        <v>157</v>
      </c>
    </row>
    <row r="15" spans="1:3">
      <c r="A15" s="43" t="s">
        <v>35</v>
      </c>
      <c r="B15" s="199">
        <v>1155.9159999999999</v>
      </c>
      <c r="C15" s="202" t="s">
        <v>553</v>
      </c>
    </row>
    <row r="16" spans="1:3">
      <c r="A16" s="43" t="s">
        <v>418</v>
      </c>
      <c r="B16" s="203">
        <f>B14/B15</f>
        <v>2.1102433048768257E-2</v>
      </c>
      <c r="C16" s="201" t="s">
        <v>419</v>
      </c>
    </row>
    <row r="17" spans="1:3" ht="15.75">
      <c r="A17" s="43" t="s">
        <v>420</v>
      </c>
      <c r="B17" s="203">
        <f>(B3-B4)*B12/(B12-1)</f>
        <v>0.20471270883830361</v>
      </c>
      <c r="C17" s="201" t="s">
        <v>421</v>
      </c>
    </row>
    <row r="18" spans="1:3">
      <c r="A18" s="43" t="s">
        <v>422</v>
      </c>
      <c r="B18" s="203">
        <f>B15/(B12-1)*(B16/B17)^B12</f>
        <v>860.46348947361423</v>
      </c>
      <c r="C18" s="201" t="s">
        <v>423</v>
      </c>
    </row>
    <row r="19" spans="1:3">
      <c r="A19" s="43" t="s">
        <v>424</v>
      </c>
      <c r="B19" s="203">
        <f>B14/(B3-B4)-B15</f>
        <v>63.716000000000122</v>
      </c>
      <c r="C19" s="201" t="s">
        <v>425</v>
      </c>
    </row>
    <row r="20" spans="1:3">
      <c r="A20" s="43" t="s">
        <v>426</v>
      </c>
      <c r="B20" s="203">
        <f>IF(B16&lt;B17,B18,B19)</f>
        <v>860.46348947361423</v>
      </c>
      <c r="C20" s="201" t="s">
        <v>427</v>
      </c>
    </row>
    <row r="21" spans="1:3">
      <c r="A21" s="43" t="s">
        <v>428</v>
      </c>
      <c r="B21" s="165">
        <v>4</v>
      </c>
      <c r="C21" s="201" t="s">
        <v>553</v>
      </c>
    </row>
    <row r="22" spans="1:3">
      <c r="A22" s="43" t="s">
        <v>429</v>
      </c>
      <c r="B22" s="165">
        <v>5</v>
      </c>
      <c r="C22" s="201" t="s">
        <v>553</v>
      </c>
    </row>
    <row r="23" spans="1:3">
      <c r="A23" s="43" t="s">
        <v>430</v>
      </c>
      <c r="B23" s="203">
        <f>B14*B22/(B3-B4)+(B16/B17)^B12*B12*B15/(B12-1)*(B21-B22)-B15</f>
        <v>3988.6127480172172</v>
      </c>
      <c r="C23" s="201" t="s">
        <v>431</v>
      </c>
    </row>
    <row r="24" spans="1:3">
      <c r="A24" s="43" t="s">
        <v>432</v>
      </c>
      <c r="B24" s="203">
        <f>B14*B21/(B3-B4)</f>
        <v>4878.5280000000002</v>
      </c>
      <c r="C24" s="201" t="s">
        <v>296</v>
      </c>
    </row>
    <row r="25" spans="1:3">
      <c r="A25" s="43" t="s">
        <v>433</v>
      </c>
      <c r="B25" s="203">
        <f>IF(B16&lt;B17,B23,B24)</f>
        <v>3988.6127480172172</v>
      </c>
      <c r="C25" s="201" t="s">
        <v>434</v>
      </c>
    </row>
    <row r="26" spans="1:3" ht="15.75">
      <c r="A26" s="43" t="s">
        <v>435</v>
      </c>
      <c r="B26" s="47">
        <f>B15/(B12-1)*(B28/B17)^B12</f>
        <v>189.21401661969628</v>
      </c>
      <c r="C26" s="201" t="s">
        <v>436</v>
      </c>
    </row>
    <row r="27" spans="1:3" ht="15.75">
      <c r="A27" s="43" t="s">
        <v>437</v>
      </c>
      <c r="B27" s="47">
        <f>B15*B28*B22/(B3-B4)+(B28/B17)^B12*B12*B15/(B12-1)*(B21-B22)-B15</f>
        <v>189.21401682572673</v>
      </c>
      <c r="C27" s="201" t="s">
        <v>438</v>
      </c>
    </row>
    <row r="28" spans="1:3" ht="15.75">
      <c r="A28" s="43" t="s">
        <v>439</v>
      </c>
      <c r="B28" s="203">
        <v>5.3804304748294052E-3</v>
      </c>
      <c r="C28" s="44" t="s">
        <v>440</v>
      </c>
    </row>
    <row r="29" spans="1:3" ht="15.75">
      <c r="A29" s="45" t="s">
        <v>441</v>
      </c>
      <c r="B29" s="50">
        <f>B27-B26</f>
        <v>2.0603044958988903E-7</v>
      </c>
      <c r="C29" s="204" t="s">
        <v>442</v>
      </c>
    </row>
    <row r="30" spans="1:3" ht="15.75">
      <c r="A30" s="43" t="s">
        <v>295</v>
      </c>
      <c r="B30" s="211">
        <f>B17*B15</f>
        <v>236.63069554953654</v>
      </c>
      <c r="C30" s="10"/>
    </row>
    <row r="31" spans="1:3">
      <c r="A31" s="43" t="s">
        <v>443</v>
      </c>
      <c r="B31" s="47"/>
      <c r="C31" s="47"/>
    </row>
    <row r="32" spans="1:3">
      <c r="A32" s="43" t="s">
        <v>440</v>
      </c>
      <c r="B32" s="47"/>
      <c r="C32" s="47"/>
    </row>
    <row r="34" spans="1:1">
      <c r="A34" t="s">
        <v>155</v>
      </c>
    </row>
    <row r="35" spans="1:1">
      <c r="A35" t="s">
        <v>553</v>
      </c>
    </row>
  </sheetData>
  <phoneticPr fontId="8" type="noConversion"/>
  <printOptions horizontalCentered="1" headings="1"/>
  <pageMargins left="0.74803149606299213" right="0.74803149606299213" top="0.98425196850393704" bottom="0.98425196850393704" header="0.51181102362204722" footer="0.51181102362204722"/>
  <pageSetup paperSize="9" scale="90" orientation="portrait" horizontalDpi="0" verticalDpi="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20"/>
  <sheetViews>
    <sheetView workbookViewId="0"/>
  </sheetViews>
  <sheetFormatPr defaultRowHeight="12.75"/>
  <cols>
    <col min="2" max="2" width="22" bestFit="1" customWidth="1"/>
    <col min="3" max="3" width="49.5703125" customWidth="1"/>
  </cols>
  <sheetData>
    <row r="1" spans="1:3">
      <c r="A1" t="s">
        <v>553</v>
      </c>
      <c r="B1" t="s">
        <v>1292</v>
      </c>
    </row>
    <row r="2" spans="1:3">
      <c r="A2" s="129" t="s">
        <v>553</v>
      </c>
      <c r="B2" s="129" t="s">
        <v>553</v>
      </c>
    </row>
    <row r="3" spans="1:3">
      <c r="A3" t="s">
        <v>583</v>
      </c>
      <c r="B3" t="s">
        <v>553</v>
      </c>
    </row>
    <row r="4" spans="1:3">
      <c r="A4" t="s">
        <v>1</v>
      </c>
      <c r="B4">
        <v>40</v>
      </c>
    </row>
    <row r="5" spans="1:3">
      <c r="A5" t="s">
        <v>238</v>
      </c>
      <c r="B5">
        <v>4</v>
      </c>
    </row>
    <row r="6" spans="1:3">
      <c r="A6" t="s">
        <v>289</v>
      </c>
      <c r="B6" s="4">
        <f>B5/B12</f>
        <v>66.666666666666671</v>
      </c>
    </row>
    <row r="7" spans="1:3">
      <c r="A7" s="2" t="s">
        <v>710</v>
      </c>
      <c r="B7" s="4">
        <v>0</v>
      </c>
    </row>
    <row r="8" spans="1:3">
      <c r="A8" s="2" t="s">
        <v>1293</v>
      </c>
      <c r="B8" s="4">
        <f>B12-B7</f>
        <v>0.06</v>
      </c>
    </row>
    <row r="9" spans="1:3">
      <c r="A9" s="2" t="s">
        <v>5</v>
      </c>
      <c r="B9" s="4">
        <v>0.2</v>
      </c>
    </row>
    <row r="10" spans="1:3">
      <c r="A10" s="2" t="s">
        <v>556</v>
      </c>
      <c r="B10" s="4">
        <v>0.5</v>
      </c>
    </row>
    <row r="11" spans="1:3">
      <c r="A11" s="2" t="s">
        <v>457</v>
      </c>
      <c r="B11" s="4">
        <v>0.35</v>
      </c>
    </row>
    <row r="12" spans="1:3">
      <c r="A12" s="96" t="s">
        <v>1294</v>
      </c>
      <c r="B12" s="4">
        <v>0.06</v>
      </c>
    </row>
    <row r="13" spans="1:3">
      <c r="A13" s="96" t="s">
        <v>605</v>
      </c>
    </row>
    <row r="14" spans="1:3" ht="14.25">
      <c r="A14" s="96" t="s">
        <v>1295</v>
      </c>
      <c r="B14" s="4">
        <f>(1-B11)*(B5/B12)*(B16/(B16+1))</f>
        <v>32.5</v>
      </c>
      <c r="C14" s="4" t="s">
        <v>1296</v>
      </c>
    </row>
    <row r="15" spans="1:3">
      <c r="A15" s="96" t="s">
        <v>1297</v>
      </c>
      <c r="B15" s="4">
        <f>(B5/B12)+((1-B10)*B14-(B5/B12))*(B14^B16)*B4^-B16</f>
        <v>39.624328613281222</v>
      </c>
      <c r="C15" s="4" t="s">
        <v>1298</v>
      </c>
    </row>
    <row r="16" spans="1:3" ht="14.25">
      <c r="A16" s="2" t="s">
        <v>1299</v>
      </c>
      <c r="B16" s="213">
        <f>-(0.5-(B12-B7)/(B9^2)-SQRT((0.5-(B12-B7)/(B9^2))^2+2*B12/(B9^2)))</f>
        <v>2.9999999999999991</v>
      </c>
      <c r="C16" s="348" t="s">
        <v>1300</v>
      </c>
    </row>
    <row r="18" spans="1:3">
      <c r="A18" s="96" t="s">
        <v>1301</v>
      </c>
      <c r="B18" s="1">
        <f>0.5*(B9^2)*(B4^2)*B20+B12*B4*B19-B12*B15+B5</f>
        <v>0</v>
      </c>
      <c r="C18" s="1" t="s">
        <v>1302</v>
      </c>
    </row>
    <row r="19" spans="1:3">
      <c r="A19" s="96" t="s">
        <v>1303</v>
      </c>
      <c r="B19" s="349">
        <f>-B16*((1-B10)*B14-(B5/B12))*(1/B4)*(B14/B4)^B16</f>
        <v>2.0281753540039062</v>
      </c>
      <c r="C19" s="349" t="s">
        <v>1304</v>
      </c>
    </row>
    <row r="20" spans="1:3">
      <c r="A20" s="96" t="s">
        <v>1305</v>
      </c>
      <c r="B20" s="350">
        <f>((B16^2)+B16)*((1-B10)*B14-(B5/B12))*(1/(B4^2))*(B14/B4)^B16</f>
        <v>-0.20281753540039058</v>
      </c>
      <c r="C20" s="350" t="s">
        <v>1306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K38"/>
  <sheetViews>
    <sheetView topLeftCell="A44" workbookViewId="0">
      <selection activeCell="A44" sqref="A44"/>
    </sheetView>
  </sheetViews>
  <sheetFormatPr defaultRowHeight="12.75"/>
  <sheetData>
    <row r="1" spans="1:11">
      <c r="D1" s="129" t="s">
        <v>1307</v>
      </c>
      <c r="E1" s="129"/>
      <c r="F1" s="129"/>
      <c r="G1" s="129"/>
      <c r="H1" s="129"/>
      <c r="I1" s="129"/>
      <c r="J1" s="129"/>
      <c r="K1" s="129"/>
    </row>
    <row r="2" spans="1:11">
      <c r="A2" s="129" t="s">
        <v>553</v>
      </c>
      <c r="B2" s="129"/>
      <c r="C2" s="129"/>
      <c r="D2" s="129" t="s">
        <v>553</v>
      </c>
      <c r="E2" s="129"/>
      <c r="F2" s="129"/>
      <c r="G2" s="129"/>
      <c r="H2" s="129"/>
      <c r="I2" s="129"/>
      <c r="J2" s="129"/>
      <c r="K2" s="129"/>
    </row>
    <row r="3" spans="1:11">
      <c r="A3" t="s">
        <v>583</v>
      </c>
      <c r="D3" t="s">
        <v>553</v>
      </c>
    </row>
    <row r="4" spans="1:11">
      <c r="A4" t="s">
        <v>1</v>
      </c>
      <c r="B4">
        <v>30</v>
      </c>
      <c r="C4">
        <f>B4+10</f>
        <v>40</v>
      </c>
      <c r="D4">
        <f t="shared" ref="D4:K4" si="0">C4+10</f>
        <v>50</v>
      </c>
      <c r="E4">
        <f t="shared" si="0"/>
        <v>60</v>
      </c>
      <c r="F4">
        <f t="shared" si="0"/>
        <v>70</v>
      </c>
      <c r="G4">
        <f t="shared" si="0"/>
        <v>80</v>
      </c>
      <c r="H4">
        <f t="shared" si="0"/>
        <v>90</v>
      </c>
      <c r="I4">
        <f t="shared" si="0"/>
        <v>100</v>
      </c>
      <c r="J4">
        <f t="shared" si="0"/>
        <v>110</v>
      </c>
      <c r="K4">
        <f t="shared" si="0"/>
        <v>120</v>
      </c>
    </row>
    <row r="5" spans="1:11">
      <c r="A5" t="s">
        <v>238</v>
      </c>
      <c r="B5">
        <v>4</v>
      </c>
      <c r="C5">
        <v>4</v>
      </c>
      <c r="D5">
        <v>4</v>
      </c>
      <c r="E5">
        <f>D5</f>
        <v>4</v>
      </c>
      <c r="F5">
        <f t="shared" ref="F5:K5" si="1">E5</f>
        <v>4</v>
      </c>
      <c r="G5">
        <f t="shared" si="1"/>
        <v>4</v>
      </c>
      <c r="H5">
        <f t="shared" si="1"/>
        <v>4</v>
      </c>
      <c r="I5">
        <f t="shared" si="1"/>
        <v>4</v>
      </c>
      <c r="J5">
        <f t="shared" si="1"/>
        <v>4</v>
      </c>
      <c r="K5">
        <f t="shared" si="1"/>
        <v>4</v>
      </c>
    </row>
    <row r="6" spans="1:11">
      <c r="A6" t="s">
        <v>289</v>
      </c>
      <c r="B6" s="4">
        <f t="shared" ref="B6:C6" si="2">B5/B12</f>
        <v>66.666666666666671</v>
      </c>
      <c r="C6" s="4">
        <f t="shared" si="2"/>
        <v>66.666666666666671</v>
      </c>
      <c r="D6" s="4">
        <f>D5/D12</f>
        <v>66.666666666666671</v>
      </c>
      <c r="E6" s="4">
        <f>E5/E12</f>
        <v>66.666666666666671</v>
      </c>
      <c r="F6" s="4">
        <f t="shared" ref="F6:K6" si="3">F5/F12</f>
        <v>66.666666666666671</v>
      </c>
      <c r="G6" s="4">
        <f t="shared" si="3"/>
        <v>66.666666666666671</v>
      </c>
      <c r="H6" s="4">
        <f t="shared" si="3"/>
        <v>66.666666666666671</v>
      </c>
      <c r="I6" s="4">
        <f t="shared" si="3"/>
        <v>66.666666666666671</v>
      </c>
      <c r="J6" s="4">
        <f t="shared" si="3"/>
        <v>66.666666666666671</v>
      </c>
      <c r="K6" s="4">
        <f t="shared" si="3"/>
        <v>66.666666666666671</v>
      </c>
    </row>
    <row r="7" spans="1:11">
      <c r="A7" s="2" t="s">
        <v>710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spans="1:11">
      <c r="A8" s="2" t="s">
        <v>3</v>
      </c>
      <c r="B8" s="4">
        <f>B12-B7</f>
        <v>0.06</v>
      </c>
      <c r="C8" s="4">
        <f t="shared" ref="C8:K8" si="4">C12-C7</f>
        <v>0.06</v>
      </c>
      <c r="D8" s="4">
        <f t="shared" si="4"/>
        <v>0.06</v>
      </c>
      <c r="E8" s="4">
        <f t="shared" si="4"/>
        <v>0.06</v>
      </c>
      <c r="F8" s="4">
        <f t="shared" si="4"/>
        <v>0.06</v>
      </c>
      <c r="G8" s="4">
        <f t="shared" si="4"/>
        <v>0.06</v>
      </c>
      <c r="H8" s="4">
        <f t="shared" si="4"/>
        <v>0.06</v>
      </c>
      <c r="I8" s="4">
        <f t="shared" si="4"/>
        <v>0.06</v>
      </c>
      <c r="J8" s="4">
        <f t="shared" si="4"/>
        <v>0.06</v>
      </c>
      <c r="K8" s="4">
        <f t="shared" si="4"/>
        <v>0.06</v>
      </c>
    </row>
    <row r="9" spans="1:11">
      <c r="A9" s="2" t="s">
        <v>5</v>
      </c>
      <c r="B9" s="4">
        <v>0.2</v>
      </c>
      <c r="C9" s="4">
        <v>0.2</v>
      </c>
      <c r="D9" s="4">
        <v>0.2</v>
      </c>
      <c r="E9" s="4">
        <v>0.2</v>
      </c>
      <c r="F9" s="4">
        <v>0.2</v>
      </c>
      <c r="G9" s="4">
        <v>0.2</v>
      </c>
      <c r="H9" s="4">
        <v>0.2</v>
      </c>
      <c r="I9" s="4">
        <v>0.2</v>
      </c>
      <c r="J9" s="4">
        <v>0.2</v>
      </c>
      <c r="K9" s="4">
        <v>0.2</v>
      </c>
    </row>
    <row r="10" spans="1:11">
      <c r="A10" s="2" t="s">
        <v>556</v>
      </c>
      <c r="B10" s="4">
        <v>0.5</v>
      </c>
      <c r="C10" s="4">
        <v>0.5</v>
      </c>
      <c r="D10" s="4">
        <v>0.5</v>
      </c>
      <c r="E10" s="4">
        <v>0.5</v>
      </c>
      <c r="F10" s="4">
        <v>0.5</v>
      </c>
      <c r="G10" s="4">
        <v>0.5</v>
      </c>
      <c r="H10" s="4">
        <v>0.5</v>
      </c>
      <c r="I10" s="4">
        <v>0.5</v>
      </c>
      <c r="J10" s="4">
        <v>0.5</v>
      </c>
      <c r="K10" s="4">
        <v>0.5</v>
      </c>
    </row>
    <row r="11" spans="1:11">
      <c r="A11" s="2" t="s">
        <v>457</v>
      </c>
      <c r="B11" s="4">
        <v>0.35</v>
      </c>
      <c r="C11" s="4">
        <v>0.35</v>
      </c>
      <c r="D11" s="4">
        <v>0.35</v>
      </c>
      <c r="E11" s="4">
        <v>0.35</v>
      </c>
      <c r="F11" s="4">
        <v>0.35</v>
      </c>
      <c r="G11" s="4">
        <v>0.35</v>
      </c>
      <c r="H11" s="4">
        <v>0.35</v>
      </c>
      <c r="I11" s="4">
        <v>0.35</v>
      </c>
      <c r="J11" s="4">
        <v>0.35</v>
      </c>
      <c r="K11" s="4">
        <v>0.35</v>
      </c>
    </row>
    <row r="12" spans="1:11">
      <c r="A12" s="96" t="s">
        <v>1294</v>
      </c>
      <c r="B12" s="4">
        <v>0.06</v>
      </c>
      <c r="C12" s="4">
        <v>0.06</v>
      </c>
      <c r="D12" s="4">
        <v>0.06</v>
      </c>
      <c r="E12" s="4">
        <v>0.06</v>
      </c>
      <c r="F12" s="4">
        <v>0.06</v>
      </c>
      <c r="G12" s="4">
        <v>0.06</v>
      </c>
      <c r="H12" s="4">
        <v>0.06</v>
      </c>
      <c r="I12" s="4">
        <v>0.06</v>
      </c>
      <c r="J12" s="4">
        <v>0.06</v>
      </c>
      <c r="K12" s="4">
        <v>0.06</v>
      </c>
    </row>
    <row r="13" spans="1:11">
      <c r="A13" s="96" t="s">
        <v>605</v>
      </c>
    </row>
    <row r="14" spans="1:11">
      <c r="A14" s="96" t="s">
        <v>1308</v>
      </c>
      <c r="B14" s="4">
        <f t="shared" ref="B14:C14" si="5">(1-B11)*B5/(B12+0.5*B9^2)</f>
        <v>32.5</v>
      </c>
      <c r="C14" s="4">
        <f t="shared" si="5"/>
        <v>32.5</v>
      </c>
      <c r="D14" s="4">
        <f>(1-D11)*D5/(D12+0.5*D9^2)</f>
        <v>32.5</v>
      </c>
      <c r="E14" s="4">
        <f>(1-E11)*E5/(E12+0.5*E9^2)</f>
        <v>32.5</v>
      </c>
      <c r="F14" s="4">
        <f t="shared" ref="F14:K14" si="6">(1-F11)*F5/(F12+0.5*F9^2)</f>
        <v>32.5</v>
      </c>
      <c r="G14" s="4">
        <f t="shared" si="6"/>
        <v>32.5</v>
      </c>
      <c r="H14" s="4">
        <f t="shared" si="6"/>
        <v>32.5</v>
      </c>
      <c r="I14" s="4">
        <f t="shared" si="6"/>
        <v>32.5</v>
      </c>
      <c r="J14" s="4">
        <f t="shared" si="6"/>
        <v>32.5</v>
      </c>
      <c r="K14" s="4">
        <f t="shared" si="6"/>
        <v>32.5</v>
      </c>
    </row>
    <row r="15" spans="1:11">
      <c r="A15" s="96" t="s">
        <v>1309</v>
      </c>
      <c r="B15" s="4">
        <f t="shared" ref="B15" si="7">(B5/B12)+((1-B10)*B14-(B5/B12))*(B14^B22)*B4^-B22</f>
        <v>2.5663097993827222</v>
      </c>
      <c r="C15" s="4">
        <f>(C5/C12)+((1-C10)*C14-(C5/C12))*(C14^C22)*C4^-C22</f>
        <v>39.624328613281222</v>
      </c>
      <c r="D15" s="4">
        <f>(D5/D12)+((1-D10)*D14-(D5/D12))*(D14^D22)*D4^-D22</f>
        <v>52.820989583333301</v>
      </c>
      <c r="E15" s="4">
        <f t="shared" ref="E15:K15" si="8">(E5/E12)+((1-E10)*E14-(E5/E12))*(E14^E22)*E4^-E22</f>
        <v>58.654122058256149</v>
      </c>
      <c r="F15" s="4">
        <f t="shared" si="8"/>
        <v>61.620865980320701</v>
      </c>
      <c r="G15" s="4">
        <f t="shared" si="8"/>
        <v>63.286374409993485</v>
      </c>
      <c r="H15" s="4">
        <f t="shared" si="8"/>
        <v>64.292579375285783</v>
      </c>
      <c r="I15" s="4">
        <f t="shared" si="8"/>
        <v>64.935957031249998</v>
      </c>
      <c r="J15" s="4">
        <f t="shared" si="8"/>
        <v>65.366358901515156</v>
      </c>
      <c r="K15" s="4">
        <f t="shared" si="8"/>
        <v>65.665098590615358</v>
      </c>
    </row>
    <row r="16" spans="1:11">
      <c r="A16" s="96" t="s">
        <v>1310</v>
      </c>
      <c r="B16" s="4">
        <f t="shared" ref="B16:C16" si="9">(B5/B12)*(1-((B5/B4)^B22)*B20)</f>
        <v>2.566309799382712</v>
      </c>
      <c r="C16" s="4">
        <f t="shared" si="9"/>
        <v>39.624328613281243</v>
      </c>
      <c r="D16" s="4">
        <f>(D5/D12)*(1-((D5/D4)^D22)*D20)</f>
        <v>52.820989583333343</v>
      </c>
      <c r="E16" s="4">
        <f t="shared" ref="E16:K16" si="10">(E5/E12)*(1-((E5/E4)^E22)*E20)</f>
        <v>58.654122058256178</v>
      </c>
      <c r="F16" s="4">
        <f t="shared" si="10"/>
        <v>61.620865980320708</v>
      </c>
      <c r="G16" s="4">
        <f t="shared" si="10"/>
        <v>63.286374409993492</v>
      </c>
      <c r="H16" s="4">
        <f t="shared" si="10"/>
        <v>64.292579375285783</v>
      </c>
      <c r="I16" s="4">
        <f t="shared" si="10"/>
        <v>64.935957031249998</v>
      </c>
      <c r="J16" s="4">
        <f t="shared" si="10"/>
        <v>65.366358901515156</v>
      </c>
      <c r="K16" s="4">
        <f t="shared" si="10"/>
        <v>65.665098590615358</v>
      </c>
    </row>
    <row r="17" spans="1:11">
      <c r="A17" s="96" t="s">
        <v>1311</v>
      </c>
      <c r="B17" s="4">
        <f t="shared" ref="B17:C17" si="11">B4+(B11*B5/B12)*(1-((B5/B4)^B22)*B19)</f>
        <v>3.0066068672839528</v>
      </c>
      <c r="C17" s="4">
        <f t="shared" si="11"/>
        <v>42.101745605468743</v>
      </c>
      <c r="D17" s="4">
        <f>D4+(D11*D5/D12)*(1-((D5/D4)^D22)*D19)</f>
        <v>62.462760416666669</v>
      </c>
      <c r="E17" s="4">
        <f t="shared" ref="E17:K17" si="12">E4+(E11*E5/E12)*(1-((E5/E4)^E22)*E19)</f>
        <v>77.042492525077165</v>
      </c>
      <c r="F17" s="4">
        <f t="shared" si="12"/>
        <v>89.371754282069972</v>
      </c>
      <c r="G17" s="4">
        <f t="shared" si="12"/>
        <v>100.67938486735025</v>
      </c>
      <c r="H17" s="4">
        <f t="shared" si="12"/>
        <v>111.46938050125743</v>
      </c>
      <c r="I17" s="4">
        <f t="shared" si="12"/>
        <v>121.97451171874999</v>
      </c>
      <c r="J17" s="4">
        <f t="shared" si="12"/>
        <v>132.31243054251189</v>
      </c>
      <c r="K17" s="4">
        <f t="shared" si="12"/>
        <v>142.54697823230131</v>
      </c>
    </row>
    <row r="18" spans="1:11">
      <c r="A18" s="96" t="s">
        <v>1312</v>
      </c>
      <c r="B18" s="4">
        <f t="shared" ref="B18:C18" si="13">B4-(1-B11)*(B5/B12)*(1-((B5/B4)^B22)*B21)</f>
        <v>0.44029706790123413</v>
      </c>
      <c r="C18" s="4">
        <f t="shared" si="13"/>
        <v>2.4774169921875</v>
      </c>
      <c r="D18" s="4">
        <f>D4-(1-D11)*(D5/D12)*(1-((D5/D4)^D22)*D21)</f>
        <v>9.6417708333333323</v>
      </c>
      <c r="E18" s="4">
        <f t="shared" ref="E18:K18" si="14">E4-(1-E11)*(E5/E12)*(1-((E5/E4)^E22)*E21)</f>
        <v>18.388370466820987</v>
      </c>
      <c r="F18" s="4">
        <f t="shared" si="14"/>
        <v>27.750888301749271</v>
      </c>
      <c r="G18" s="4">
        <f t="shared" si="14"/>
        <v>37.393010457356766</v>
      </c>
      <c r="H18" s="4">
        <f t="shared" si="14"/>
        <v>47.17680112597165</v>
      </c>
      <c r="I18" s="4">
        <f t="shared" si="14"/>
        <v>57.038554687499996</v>
      </c>
      <c r="J18" s="4">
        <f t="shared" si="14"/>
        <v>66.946071640996735</v>
      </c>
      <c r="K18" s="4">
        <f t="shared" si="14"/>
        <v>76.881879641685956</v>
      </c>
    </row>
    <row r="19" spans="1:11">
      <c r="A19" s="96" t="s">
        <v>569</v>
      </c>
      <c r="B19" s="7">
        <f t="shared" ref="B19:C19" si="15">(1+B22+B10*(1-B11)*B22/B11)*B21</f>
        <v>909.92518833705128</v>
      </c>
      <c r="C19" s="7">
        <f t="shared" si="15"/>
        <v>909.92518833705128</v>
      </c>
      <c r="D19" s="7">
        <f>(1+D22+D10*(1-D11)*D22/D11)*D21</f>
        <v>909.92518833705128</v>
      </c>
      <c r="E19" s="7">
        <f t="shared" ref="E19:K19" si="16">(1+E22+E10*(1-E11)*E22/E11)*E21</f>
        <v>909.92518833705128</v>
      </c>
      <c r="F19" s="7">
        <f t="shared" si="16"/>
        <v>909.92518833705128</v>
      </c>
      <c r="G19" s="7">
        <f t="shared" si="16"/>
        <v>909.92518833705128</v>
      </c>
      <c r="H19" s="7">
        <f t="shared" si="16"/>
        <v>909.92518833705128</v>
      </c>
      <c r="I19" s="7">
        <f t="shared" si="16"/>
        <v>909.92518833705128</v>
      </c>
      <c r="J19" s="7">
        <f t="shared" si="16"/>
        <v>909.92518833705128</v>
      </c>
      <c r="K19" s="7">
        <f t="shared" si="16"/>
        <v>909.92518833705128</v>
      </c>
    </row>
    <row r="20" spans="1:11">
      <c r="A20" s="96" t="s">
        <v>1313</v>
      </c>
      <c r="B20" s="4">
        <f t="shared" ref="B20:C20" si="17">(1+B22-(1-B10)*(1-B11)*B22)*B21</f>
        <v>405.63507080078023</v>
      </c>
      <c r="C20" s="4">
        <f t="shared" si="17"/>
        <v>405.63507080078023</v>
      </c>
      <c r="D20" s="4">
        <f>(1+D22-(1-D10)*(1-D11)*D22)*D21</f>
        <v>405.63507080078023</v>
      </c>
      <c r="E20" s="4">
        <f t="shared" ref="E20:K20" si="18">(1+E22-(1-E10)*(1-E11)*E22)*E21</f>
        <v>405.63507080078023</v>
      </c>
      <c r="F20" s="4">
        <f t="shared" si="18"/>
        <v>405.63507080078023</v>
      </c>
      <c r="G20" s="4">
        <f t="shared" si="18"/>
        <v>405.63507080078023</v>
      </c>
      <c r="H20" s="4">
        <f t="shared" si="18"/>
        <v>405.63507080078023</v>
      </c>
      <c r="I20" s="4">
        <f t="shared" si="18"/>
        <v>405.63507080078023</v>
      </c>
      <c r="J20" s="4">
        <f t="shared" si="18"/>
        <v>405.63507080078023</v>
      </c>
      <c r="K20" s="4">
        <f t="shared" si="18"/>
        <v>405.63507080078023</v>
      </c>
    </row>
    <row r="21" spans="1:11">
      <c r="A21" s="96" t="s">
        <v>3</v>
      </c>
      <c r="B21" s="4">
        <f t="shared" ref="B21:C21" si="19">(((1-B11)*B22/(B12*(1+B22)))^B22)*((1+B22)^-1)</f>
        <v>134.09423828124969</v>
      </c>
      <c r="C21" s="4">
        <f t="shared" si="19"/>
        <v>134.09423828124969</v>
      </c>
      <c r="D21" s="4">
        <f>(((1-D11)*D22/(D12*(1+D22)))^D22)*((1+D22)^-1)</f>
        <v>134.09423828124969</v>
      </c>
      <c r="E21" s="4">
        <f t="shared" ref="E21:K21" si="20">(((1-E11)*E22/(E12*(1+E22)))^E22)*((1+E22)^-1)</f>
        <v>134.09423828124969</v>
      </c>
      <c r="F21" s="4">
        <f t="shared" si="20"/>
        <v>134.09423828124969</v>
      </c>
      <c r="G21" s="4">
        <f t="shared" si="20"/>
        <v>134.09423828124969</v>
      </c>
      <c r="H21" s="4">
        <f t="shared" si="20"/>
        <v>134.09423828124969</v>
      </c>
      <c r="I21" s="4">
        <f t="shared" si="20"/>
        <v>134.09423828124969</v>
      </c>
      <c r="J21" s="4">
        <f t="shared" si="20"/>
        <v>134.09423828124969</v>
      </c>
      <c r="K21" s="4">
        <f t="shared" si="20"/>
        <v>134.09423828124969</v>
      </c>
    </row>
    <row r="22" spans="1:11">
      <c r="A22" s="2" t="s">
        <v>610</v>
      </c>
      <c r="B22" s="4">
        <f t="shared" ref="B22:C22" si="21">((B12-B7-0.5*(B9^2))+SQRT((B12-B7-0.5*(B9^2))^2+2*(B9^2)*B12))/(B9^2)</f>
        <v>2.9999999999999991</v>
      </c>
      <c r="C22" s="4">
        <f t="shared" si="21"/>
        <v>2.9999999999999991</v>
      </c>
      <c r="D22" s="4">
        <f>((D12-D7-0.5*(D9^2))+SQRT((D12-D7-0.5*(D9^2))^2+2*(D9^2)*D12))/(D9^2)</f>
        <v>2.9999999999999991</v>
      </c>
      <c r="E22" s="4">
        <f t="shared" ref="E22:K22" si="22">((E12-E7-0.5*(E9^2))+SQRT((E12-E7-0.5*(E9^2))^2+2*(E9^2)*E12))/(E9^2)</f>
        <v>2.9999999999999991</v>
      </c>
      <c r="F22" s="4">
        <f t="shared" si="22"/>
        <v>2.9999999999999991</v>
      </c>
      <c r="G22" s="4">
        <f t="shared" si="22"/>
        <v>2.9999999999999991</v>
      </c>
      <c r="H22" s="4">
        <f t="shared" si="22"/>
        <v>2.9999999999999991</v>
      </c>
      <c r="I22" s="4">
        <f t="shared" si="22"/>
        <v>2.9999999999999991</v>
      </c>
      <c r="J22" s="4">
        <f t="shared" si="22"/>
        <v>2.9999999999999991</v>
      </c>
      <c r="K22" s="4">
        <f t="shared" si="22"/>
        <v>2.9999999999999991</v>
      </c>
    </row>
    <row r="24" spans="1:11">
      <c r="A24" s="96" t="s">
        <v>445</v>
      </c>
      <c r="B24" s="4">
        <f t="shared" ref="B24:C24" si="23">B17</f>
        <v>3.0066068672839528</v>
      </c>
      <c r="C24" s="4">
        <f t="shared" si="23"/>
        <v>42.101745605468743</v>
      </c>
      <c r="D24" s="4">
        <f>D17</f>
        <v>62.462760416666669</v>
      </c>
      <c r="E24" s="4">
        <f t="shared" ref="E24:K24" si="24">E17</f>
        <v>77.042492525077165</v>
      </c>
      <c r="F24" s="4">
        <f t="shared" si="24"/>
        <v>89.371754282069972</v>
      </c>
      <c r="G24" s="4">
        <f t="shared" si="24"/>
        <v>100.67938486735025</v>
      </c>
      <c r="H24" s="4">
        <f t="shared" si="24"/>
        <v>111.46938050125743</v>
      </c>
      <c r="I24" s="4">
        <f t="shared" si="24"/>
        <v>121.97451171874999</v>
      </c>
      <c r="J24" s="4">
        <f t="shared" si="24"/>
        <v>132.31243054251189</v>
      </c>
      <c r="K24" s="4">
        <f t="shared" si="24"/>
        <v>142.54697823230131</v>
      </c>
    </row>
    <row r="25" spans="1:11">
      <c r="A25" s="96" t="s">
        <v>1314</v>
      </c>
      <c r="B25" s="4">
        <f t="shared" ref="B25:C25" si="25">B6</f>
        <v>66.666666666666671</v>
      </c>
      <c r="C25" s="4">
        <f t="shared" si="25"/>
        <v>66.666666666666671</v>
      </c>
      <c r="D25" s="4">
        <f>D6</f>
        <v>66.666666666666671</v>
      </c>
      <c r="E25" s="4">
        <f t="shared" ref="E25:K25" si="26">E6</f>
        <v>66.666666666666671</v>
      </c>
      <c r="F25" s="4">
        <f t="shared" si="26"/>
        <v>66.666666666666671</v>
      </c>
      <c r="G25" s="4">
        <f t="shared" si="26"/>
        <v>66.666666666666671</v>
      </c>
      <c r="H25" s="4">
        <f t="shared" si="26"/>
        <v>66.666666666666671</v>
      </c>
      <c r="I25" s="4">
        <f t="shared" si="26"/>
        <v>66.666666666666671</v>
      </c>
      <c r="J25" s="4">
        <f t="shared" si="26"/>
        <v>66.666666666666671</v>
      </c>
      <c r="K25" s="4">
        <f t="shared" si="26"/>
        <v>66.666666666666671</v>
      </c>
    </row>
    <row r="26" spans="1:11">
      <c r="A26" s="96" t="s">
        <v>1315</v>
      </c>
      <c r="B26" s="4">
        <f t="shared" ref="B26:C26" si="27">B25-B16</f>
        <v>64.100356867283963</v>
      </c>
      <c r="C26" s="4">
        <f t="shared" si="27"/>
        <v>27.042338053385429</v>
      </c>
      <c r="D26" s="4">
        <f>D25-D16</f>
        <v>13.845677083333328</v>
      </c>
      <c r="E26" s="4">
        <f t="shared" ref="E26:K26" si="28">E25-E16</f>
        <v>8.0125446084104937</v>
      </c>
      <c r="F26" s="4">
        <f t="shared" si="28"/>
        <v>5.045800686345963</v>
      </c>
      <c r="G26" s="4">
        <f t="shared" si="28"/>
        <v>3.3802922566731795</v>
      </c>
      <c r="H26" s="4">
        <f t="shared" si="28"/>
        <v>2.3740872913808886</v>
      </c>
      <c r="I26" s="4">
        <f t="shared" si="28"/>
        <v>1.7307096354166731</v>
      </c>
      <c r="J26" s="4">
        <f t="shared" si="28"/>
        <v>1.3003077651515156</v>
      </c>
      <c r="K26" s="4">
        <f t="shared" si="28"/>
        <v>1.0015680760513135</v>
      </c>
    </row>
    <row r="27" spans="1:11">
      <c r="A27" s="96" t="s">
        <v>1316</v>
      </c>
      <c r="B27" s="4">
        <f t="shared" ref="B27:C27" si="29">B18</f>
        <v>0.44029706790123413</v>
      </c>
      <c r="C27" s="4">
        <f t="shared" si="29"/>
        <v>2.4774169921875</v>
      </c>
      <c r="D27" s="4">
        <f>D18</f>
        <v>9.6417708333333323</v>
      </c>
      <c r="E27" s="4">
        <f t="shared" ref="E27:K27" si="30">E18</f>
        <v>18.388370466820987</v>
      </c>
      <c r="F27" s="4">
        <f t="shared" si="30"/>
        <v>27.750888301749271</v>
      </c>
      <c r="G27" s="4">
        <f t="shared" si="30"/>
        <v>37.393010457356766</v>
      </c>
      <c r="H27" s="4">
        <f t="shared" si="30"/>
        <v>47.17680112597165</v>
      </c>
      <c r="I27" s="4">
        <f t="shared" si="30"/>
        <v>57.038554687499996</v>
      </c>
      <c r="J27" s="4">
        <f t="shared" si="30"/>
        <v>66.946071640996735</v>
      </c>
      <c r="K27" s="4">
        <f t="shared" si="30"/>
        <v>76.881879641685956</v>
      </c>
    </row>
    <row r="28" spans="1:11">
      <c r="A28" s="96" t="s">
        <v>1317</v>
      </c>
      <c r="B28" s="4">
        <f t="shared" ref="B28:C28" si="31">B25-B26+B27</f>
        <v>3.0066068672839421</v>
      </c>
      <c r="C28" s="4">
        <f t="shared" si="31"/>
        <v>42.101745605468743</v>
      </c>
      <c r="D28" s="4">
        <f>D25-D26+D27</f>
        <v>62.462760416666676</v>
      </c>
      <c r="E28" s="4">
        <f t="shared" ref="E28:K28" si="32">E25-E26+E27</f>
        <v>77.042492525077165</v>
      </c>
      <c r="F28" s="4">
        <f t="shared" si="32"/>
        <v>89.371754282069986</v>
      </c>
      <c r="G28" s="4">
        <f t="shared" si="32"/>
        <v>100.67938486735025</v>
      </c>
      <c r="H28" s="4">
        <f t="shared" si="32"/>
        <v>111.46938050125743</v>
      </c>
      <c r="I28" s="4">
        <f t="shared" si="32"/>
        <v>121.97451171874999</v>
      </c>
      <c r="J28" s="4">
        <f t="shared" si="32"/>
        <v>132.31243054251189</v>
      </c>
      <c r="K28" s="4">
        <f t="shared" si="32"/>
        <v>142.54697823230131</v>
      </c>
    </row>
    <row r="30" spans="1:11">
      <c r="A30" s="96" t="s">
        <v>1308</v>
      </c>
      <c r="B30" s="4" t="s">
        <v>1318</v>
      </c>
    </row>
    <row r="31" spans="1:11">
      <c r="A31" s="96" t="str">
        <f>A15</f>
        <v>D* EQ7</v>
      </c>
      <c r="B31" s="4" t="s">
        <v>1319</v>
      </c>
    </row>
    <row r="32" spans="1:11">
      <c r="A32" s="96" t="s">
        <v>1310</v>
      </c>
      <c r="B32" s="4" t="s">
        <v>1320</v>
      </c>
    </row>
    <row r="33" spans="1:2">
      <c r="A33" s="96" t="s">
        <v>1311</v>
      </c>
      <c r="B33" s="4" t="s">
        <v>1321</v>
      </c>
    </row>
    <row r="34" spans="1:2">
      <c r="A34" s="96" t="s">
        <v>1312</v>
      </c>
      <c r="B34" s="4" t="s">
        <v>1322</v>
      </c>
    </row>
    <row r="35" spans="1:2">
      <c r="A35" s="96" t="s">
        <v>569</v>
      </c>
      <c r="B35" s="4" t="s">
        <v>1323</v>
      </c>
    </row>
    <row r="36" spans="1:2">
      <c r="A36" s="96" t="s">
        <v>1313</v>
      </c>
      <c r="B36" s="4" t="s">
        <v>1324</v>
      </c>
    </row>
    <row r="37" spans="1:2">
      <c r="A37" s="96" t="s">
        <v>3</v>
      </c>
      <c r="B37" s="4" t="s">
        <v>1325</v>
      </c>
    </row>
    <row r="38" spans="1:2">
      <c r="A38" s="2" t="s">
        <v>610</v>
      </c>
      <c r="B38" s="351" t="s">
        <v>1326</v>
      </c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sqref="A1:C26"/>
    </sheetView>
  </sheetViews>
  <sheetFormatPr defaultRowHeight="12.75"/>
  <cols>
    <col min="1" max="1" width="10.28515625" bestFit="1" customWidth="1"/>
    <col min="2" max="2" width="10.85546875" bestFit="1" customWidth="1"/>
    <col min="3" max="3" width="10.28515625" bestFit="1" customWidth="1"/>
  </cols>
  <sheetData>
    <row r="1" spans="1:3">
      <c r="B1" s="129" t="s">
        <v>1327</v>
      </c>
    </row>
    <row r="2" spans="1:3">
      <c r="A2" s="103" t="s">
        <v>1328</v>
      </c>
      <c r="B2" s="103"/>
      <c r="C2" s="103"/>
    </row>
    <row r="3" spans="1:3" ht="18.75">
      <c r="A3" s="352" t="s">
        <v>1329</v>
      </c>
      <c r="B3" s="352"/>
      <c r="C3" s="352"/>
    </row>
    <row r="4" spans="1:3" ht="15">
      <c r="B4" s="353" t="s">
        <v>1330</v>
      </c>
      <c r="C4" s="353" t="s">
        <v>1331</v>
      </c>
    </row>
    <row r="5" spans="1:3">
      <c r="A5" t="s">
        <v>445</v>
      </c>
      <c r="B5" s="4">
        <f>B10</f>
        <v>40</v>
      </c>
      <c r="C5" s="4">
        <f>C10+(C16*C11/C17)*(1-(C10/C19)^-C20)-C15*C19*(C10/C19)^-C20</f>
        <v>42.10174560546875</v>
      </c>
    </row>
    <row r="6" spans="1:3">
      <c r="A6" t="s">
        <v>1332</v>
      </c>
      <c r="B6" s="4">
        <f>B11/C17</f>
        <v>66.666666666666671</v>
      </c>
      <c r="C6" s="4">
        <f>(C11/C17)+((1-C15)*C19-(C11/C17))*(C19^C20)*C10^-C20</f>
        <v>39.624328613281222</v>
      </c>
    </row>
    <row r="7" spans="1:3">
      <c r="A7" t="s">
        <v>1333</v>
      </c>
      <c r="B7" s="4">
        <f>B5-B6</f>
        <v>-26.666666666666671</v>
      </c>
      <c r="C7" s="4">
        <f>C10-(1-C16)*(C11/C17)+((1-C16)*(C11/C17)-C19)*((C10/C19)^-C20)</f>
        <v>2.4774169921875</v>
      </c>
    </row>
    <row r="8" spans="1:3">
      <c r="B8" s="4"/>
    </row>
    <row r="9" spans="1:3">
      <c r="A9" t="s">
        <v>583</v>
      </c>
      <c r="B9" s="4" t="s">
        <v>1334</v>
      </c>
    </row>
    <row r="10" spans="1:3">
      <c r="A10" t="s">
        <v>1335</v>
      </c>
      <c r="B10" s="4">
        <v>40</v>
      </c>
      <c r="C10" s="4">
        <f>B10</f>
        <v>40</v>
      </c>
    </row>
    <row r="11" spans="1:3">
      <c r="A11" t="s">
        <v>1336</v>
      </c>
      <c r="B11" s="4">
        <v>4</v>
      </c>
      <c r="C11" s="4">
        <f t="shared" ref="C11:C12" si="0">B11</f>
        <v>4</v>
      </c>
    </row>
    <row r="12" spans="1:3">
      <c r="A12" t="s">
        <v>1337</v>
      </c>
      <c r="B12" s="4">
        <f>B11/C17</f>
        <v>66.666666666666671</v>
      </c>
      <c r="C12" s="4">
        <f t="shared" si="0"/>
        <v>66.666666666666671</v>
      </c>
    </row>
    <row r="13" spans="1:3">
      <c r="A13" s="2" t="s">
        <v>710</v>
      </c>
      <c r="C13" s="4">
        <v>0</v>
      </c>
    </row>
    <row r="14" spans="1:3" ht="15">
      <c r="A14" s="354" t="s">
        <v>5</v>
      </c>
      <c r="C14" s="355">
        <v>0.2</v>
      </c>
    </row>
    <row r="15" spans="1:3">
      <c r="A15" s="2" t="s">
        <v>556</v>
      </c>
      <c r="C15" s="4">
        <v>0.5</v>
      </c>
    </row>
    <row r="16" spans="1:3">
      <c r="A16" s="2" t="s">
        <v>457</v>
      </c>
      <c r="C16" s="4">
        <v>0.35</v>
      </c>
    </row>
    <row r="17" spans="1:3">
      <c r="A17" s="96" t="s">
        <v>1294</v>
      </c>
      <c r="C17" s="4">
        <v>0.06</v>
      </c>
    </row>
    <row r="18" spans="1:3">
      <c r="A18" s="96" t="s">
        <v>605</v>
      </c>
    </row>
    <row r="19" spans="1:3" ht="14.25">
      <c r="A19" s="96" t="s">
        <v>1295</v>
      </c>
      <c r="C19" s="4">
        <f>(1-C16)*(C11/C17)*(C20/(C20+1))</f>
        <v>32.5</v>
      </c>
    </row>
    <row r="20" spans="1:3" ht="14.25">
      <c r="A20" s="2" t="s">
        <v>1299</v>
      </c>
      <c r="C20" s="213">
        <f>-(0.5-(C17-C13)/(C14^2)-SQRT((0.5-(C17-C13)/(C14^2))^2+2*C17/(C14^2)))</f>
        <v>2.9999999999999991</v>
      </c>
    </row>
    <row r="22" spans="1:3">
      <c r="A22" s="96" t="s">
        <v>566</v>
      </c>
      <c r="B22" s="356" t="s">
        <v>1338</v>
      </c>
    </row>
    <row r="23" spans="1:3">
      <c r="A23" s="96" t="s">
        <v>1339</v>
      </c>
      <c r="B23" s="357" t="s">
        <v>1340</v>
      </c>
    </row>
    <row r="24" spans="1:3">
      <c r="A24" s="96" t="s">
        <v>1341</v>
      </c>
      <c r="B24" s="356" t="s">
        <v>1342</v>
      </c>
    </row>
    <row r="25" spans="1:3" ht="14.25">
      <c r="A25" s="96" t="s">
        <v>1295</v>
      </c>
      <c r="B25" s="357" t="s">
        <v>1343</v>
      </c>
    </row>
    <row r="26" spans="1:3" ht="14.25">
      <c r="A26" s="2" t="s">
        <v>1299</v>
      </c>
      <c r="B26" s="358" t="s">
        <v>1344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sqref="A1:C26"/>
    </sheetView>
  </sheetViews>
  <sheetFormatPr defaultRowHeight="12.75"/>
  <cols>
    <col min="1" max="1" width="10.28515625" bestFit="1" customWidth="1"/>
    <col min="2" max="2" width="10.85546875" bestFit="1" customWidth="1"/>
  </cols>
  <sheetData>
    <row r="1" spans="1:3">
      <c r="B1" s="129" t="s">
        <v>1345</v>
      </c>
    </row>
    <row r="2" spans="1:3">
      <c r="A2" s="103" t="s">
        <v>1346</v>
      </c>
      <c r="B2" s="103"/>
      <c r="C2" s="103"/>
    </row>
    <row r="3" spans="1:3" ht="18.75">
      <c r="A3" s="352" t="s">
        <v>553</v>
      </c>
      <c r="B3" s="352"/>
      <c r="C3" s="352"/>
    </row>
    <row r="4" spans="1:3" ht="15">
      <c r="B4" s="353" t="s">
        <v>1330</v>
      </c>
      <c r="C4" s="353" t="s">
        <v>1331</v>
      </c>
    </row>
    <row r="5" spans="1:3">
      <c r="A5" t="s">
        <v>445</v>
      </c>
      <c r="B5" s="4">
        <f>B10</f>
        <v>35</v>
      </c>
      <c r="C5" s="4">
        <f>C10+(C16*C11/C17)*(1-(C10/C19)^-C20)-C15*C19*(C10/C19)^-C20</f>
        <v>26.640700923226426</v>
      </c>
    </row>
    <row r="6" spans="1:3">
      <c r="A6" t="s">
        <v>1332</v>
      </c>
      <c r="B6" s="4">
        <f>B11/C17</f>
        <v>66.666666666666671</v>
      </c>
      <c r="C6" s="4">
        <f>(C11/C17)+((1-C15)*C19-(C11/C17))*(C19^C20)*C10^-C20</f>
        <v>26.300261175898875</v>
      </c>
    </row>
    <row r="7" spans="1:3">
      <c r="A7" t="s">
        <v>1333</v>
      </c>
      <c r="B7" s="4">
        <f>B5-B6</f>
        <v>-31.666666666666671</v>
      </c>
      <c r="C7" s="4">
        <f>C10-(1-C16)*(C11/C17)+((1-C16)*(C11/C17)-C19)*((C10/C19)^-C20)</f>
        <v>0.34043974732750293</v>
      </c>
    </row>
    <row r="8" spans="1:3">
      <c r="B8" s="4"/>
    </row>
    <row r="9" spans="1:3">
      <c r="A9" t="s">
        <v>583</v>
      </c>
      <c r="B9" s="4" t="s">
        <v>553</v>
      </c>
    </row>
    <row r="10" spans="1:3" ht="15">
      <c r="A10" t="s">
        <v>1335</v>
      </c>
      <c r="B10" s="359">
        <v>35</v>
      </c>
      <c r="C10" s="359">
        <f>B10</f>
        <v>35</v>
      </c>
    </row>
    <row r="11" spans="1:3">
      <c r="A11" t="s">
        <v>1336</v>
      </c>
      <c r="B11" s="4">
        <v>4</v>
      </c>
      <c r="C11" s="4">
        <f t="shared" ref="C11:C12" si="0">B11</f>
        <v>4</v>
      </c>
    </row>
    <row r="12" spans="1:3">
      <c r="A12" t="s">
        <v>1337</v>
      </c>
      <c r="B12" s="4">
        <f>B11/C17</f>
        <v>66.666666666666671</v>
      </c>
      <c r="C12" s="4">
        <f t="shared" si="0"/>
        <v>66.666666666666671</v>
      </c>
    </row>
    <row r="13" spans="1:3">
      <c r="A13" s="2" t="s">
        <v>710</v>
      </c>
      <c r="C13" s="4">
        <v>0</v>
      </c>
    </row>
    <row r="14" spans="1:3" ht="15">
      <c r="A14" s="354" t="s">
        <v>5</v>
      </c>
      <c r="C14" s="355">
        <v>0.2</v>
      </c>
    </row>
    <row r="15" spans="1:3">
      <c r="A15" s="2" t="s">
        <v>556</v>
      </c>
      <c r="C15" s="4">
        <v>0.5</v>
      </c>
    </row>
    <row r="16" spans="1:3">
      <c r="A16" s="2" t="s">
        <v>457</v>
      </c>
      <c r="C16" s="4">
        <v>0.35</v>
      </c>
    </row>
    <row r="17" spans="1:3">
      <c r="A17" s="96" t="s">
        <v>1294</v>
      </c>
      <c r="C17" s="4">
        <v>0.06</v>
      </c>
    </row>
    <row r="18" spans="1:3">
      <c r="A18" s="96" t="s">
        <v>605</v>
      </c>
    </row>
    <row r="19" spans="1:3" ht="14.25">
      <c r="A19" s="96" t="s">
        <v>1295</v>
      </c>
      <c r="C19" s="4">
        <f>(1-C16)*(C11/C17)*(C20/(C20+1))</f>
        <v>32.5</v>
      </c>
    </row>
    <row r="20" spans="1:3" ht="14.25">
      <c r="A20" s="2" t="s">
        <v>1299</v>
      </c>
      <c r="C20" s="213">
        <f>-(0.5-(C17-C13)/(C14^2)-SQRT((0.5-(C17-C13)/(C14^2))^2+2*C17/(C14^2)))</f>
        <v>2.9999999999999991</v>
      </c>
    </row>
    <row r="22" spans="1:3">
      <c r="A22" s="96" t="s">
        <v>566</v>
      </c>
      <c r="B22" s="356" t="s">
        <v>1338</v>
      </c>
    </row>
    <row r="23" spans="1:3">
      <c r="A23" s="96" t="s">
        <v>1339</v>
      </c>
      <c r="B23" s="357" t="s">
        <v>1340</v>
      </c>
    </row>
    <row r="24" spans="1:3">
      <c r="A24" s="96" t="s">
        <v>1341</v>
      </c>
      <c r="B24" s="356" t="s">
        <v>1342</v>
      </c>
    </row>
    <row r="25" spans="1:3" ht="14.25">
      <c r="A25" s="96" t="s">
        <v>1295</v>
      </c>
      <c r="B25" s="357" t="s">
        <v>1343</v>
      </c>
    </row>
    <row r="26" spans="1:3" ht="14.25">
      <c r="A26" s="2" t="s">
        <v>1299</v>
      </c>
      <c r="B26" s="358" t="s">
        <v>1344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L33"/>
  <sheetViews>
    <sheetView workbookViewId="0">
      <selection activeCell="I2" sqref="I2"/>
    </sheetView>
  </sheetViews>
  <sheetFormatPr defaultRowHeight="12.75"/>
  <cols>
    <col min="1" max="1" width="18" bestFit="1" customWidth="1"/>
    <col min="2" max="2" width="10.85546875" customWidth="1"/>
    <col min="3" max="4" width="12.42578125" bestFit="1" customWidth="1"/>
    <col min="5" max="7" width="11" customWidth="1"/>
    <col min="8" max="11" width="11" bestFit="1" customWidth="1"/>
    <col min="12" max="12" width="3.28515625" customWidth="1"/>
  </cols>
  <sheetData>
    <row r="1" spans="1:12">
      <c r="D1" t="s">
        <v>553</v>
      </c>
      <c r="F1" s="129" t="s">
        <v>1347</v>
      </c>
    </row>
    <row r="2" spans="1:12">
      <c r="A2" s="103" t="s">
        <v>1348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2" ht="18.75">
      <c r="A3" s="352" t="s">
        <v>1329</v>
      </c>
      <c r="B3" s="352"/>
      <c r="C3" s="352"/>
      <c r="D3" s="352"/>
      <c r="E3" s="352" t="s">
        <v>553</v>
      </c>
      <c r="F3" s="352"/>
      <c r="G3" s="352"/>
      <c r="H3" s="352"/>
      <c r="I3" s="352"/>
      <c r="J3" s="352"/>
      <c r="K3" s="352"/>
    </row>
    <row r="4" spans="1:12" ht="15">
      <c r="B4" s="353" t="s">
        <v>1330</v>
      </c>
      <c r="C4" s="353" t="s">
        <v>1349</v>
      </c>
      <c r="D4" s="353" t="s">
        <v>1350</v>
      </c>
      <c r="E4" s="353" t="s">
        <v>1351</v>
      </c>
      <c r="F4" s="353" t="s">
        <v>1352</v>
      </c>
      <c r="G4" s="353" t="s">
        <v>1353</v>
      </c>
      <c r="H4" s="353" t="s">
        <v>1354</v>
      </c>
      <c r="I4" s="353" t="s">
        <v>1355</v>
      </c>
      <c r="J4" s="353" t="s">
        <v>1356</v>
      </c>
      <c r="K4" s="353" t="s">
        <v>1357</v>
      </c>
    </row>
    <row r="5" spans="1:12">
      <c r="A5" t="s">
        <v>445</v>
      </c>
      <c r="B5" s="4">
        <f>B10</f>
        <v>40</v>
      </c>
      <c r="C5" s="4">
        <f>C10+(C16*C11/C17)*(1-(C10/C19)^-C20)-C15*C19*(C10/C19)^-C20</f>
        <v>42.10174560546875</v>
      </c>
      <c r="D5" s="4">
        <f>D10+(D16*D11/D17)*(1-(D10/D19)^-D20)-D15*D19*(D10/D19)^-D20</f>
        <v>53.810181456972529</v>
      </c>
      <c r="E5" s="4">
        <f t="shared" ref="E5:H5" si="0">E10+(E16*E11/E17)*(1-(E10/E19)^-E20)-E15*E19*(E10/E19)^-E20</f>
        <v>52.640438752821922</v>
      </c>
      <c r="F5" s="4">
        <f t="shared" si="0"/>
        <v>52.782380399558285</v>
      </c>
      <c r="G5" s="4">
        <f t="shared" si="0"/>
        <v>52.896243170798947</v>
      </c>
      <c r="H5" s="4">
        <f t="shared" si="0"/>
        <v>53.077251930621514</v>
      </c>
      <c r="I5" s="4">
        <f>I10+(I16*I11/I17)*(1-(I10/I19)^-I20)-I15*I19*(I10/I19)^-I20</f>
        <v>53.219184565848131</v>
      </c>
      <c r="J5" s="4">
        <f t="shared" ref="J5:K5" si="1">J10+(J16*J11/J17)*(1-(J10/J19)^-J20)-J15*J19*(J10/J19)^-J20</f>
        <v>53.358066721846008</v>
      </c>
      <c r="K5" s="4">
        <f t="shared" si="1"/>
        <v>53.466360892346131</v>
      </c>
      <c r="L5" t="s">
        <v>566</v>
      </c>
    </row>
    <row r="6" spans="1:12">
      <c r="A6" t="s">
        <v>1332</v>
      </c>
      <c r="B6" s="4">
        <f>B11/C17</f>
        <v>66.666666666666671</v>
      </c>
      <c r="C6" s="4">
        <f>(C11/C17)+((1-C15)*C19-(C11/C17))*(C19^C20)*C10^-C20</f>
        <v>39.624328613281222</v>
      </c>
      <c r="D6" s="4">
        <f>(D11/D17)+((1-D15)*D19-(D11/D17))*(D19^D20)*D10^-D20</f>
        <v>52.483248978469732</v>
      </c>
      <c r="E6" s="4">
        <f t="shared" ref="E6:H6" si="2">(E11/E17)+((1-E15)*E19-(E11/E17))*(E19^E20)*E10^-E20</f>
        <v>51.068291218013172</v>
      </c>
      <c r="F6" s="4">
        <f t="shared" si="2"/>
        <v>51.237987723756959</v>
      </c>
      <c r="G6" s="4">
        <f t="shared" si="2"/>
        <v>51.374502805284649</v>
      </c>
      <c r="H6" s="4">
        <f t="shared" si="2"/>
        <v>51.592242744453287</v>
      </c>
      <c r="I6" s="4">
        <f>(I11/I17)+((1-I15)*I19-(I11/I17))*(I19^I20)*I10^-I20</f>
        <v>51.763604433843412</v>
      </c>
      <c r="J6" s="4">
        <f t="shared" ref="J6:K6" si="3">(J11/J17)+((1-J15)*J19-(J11/J17))*(J19^J20)*J10^-J20</f>
        <v>51.931824902132526</v>
      </c>
      <c r="K6" s="4">
        <f t="shared" si="3"/>
        <v>52.063372344413224</v>
      </c>
      <c r="L6" t="s">
        <v>1339</v>
      </c>
    </row>
    <row r="7" spans="1:12">
      <c r="A7" t="s">
        <v>1333</v>
      </c>
      <c r="B7" s="4">
        <f>B5-B6</f>
        <v>-26.666666666666671</v>
      </c>
      <c r="C7" s="4">
        <f>C10-(1-C16)*(C11/C17)+((1-C16)*(C11/C17)-C19)*((C10/C19)^-C20)</f>
        <v>2.4774169921875</v>
      </c>
      <c r="D7" s="4">
        <f>D10-(1-D16)*(D11/D17)+((1-D16)*(D11/D17)-D19)*((D10/D19)^-D20)</f>
        <v>1.3269324785028038</v>
      </c>
      <c r="E7" s="4">
        <f t="shared" ref="E7:H7" si="4">E10-(1-E16)*(E11/E17)+((1-E16)*(E11/E17)-E19)*((E10/E19)^-E20)</f>
        <v>1.5721475348087575</v>
      </c>
      <c r="F7" s="4">
        <f t="shared" si="4"/>
        <v>1.5443926758013324</v>
      </c>
      <c r="G7" s="4">
        <f t="shared" si="4"/>
        <v>1.521740365514308</v>
      </c>
      <c r="H7" s="4">
        <f t="shared" si="4"/>
        <v>1.4850091861682007</v>
      </c>
      <c r="I7" s="4">
        <f>I10-(1-I16)*(I11/I17)+((1-I16)*(I11/I17)-I19)*((I10/I19)^-I20)</f>
        <v>1.4555801320047337</v>
      </c>
      <c r="J7" s="4">
        <f t="shared" ref="J7:K7" si="5">J10-(1-J16)*(J11/J17)+((1-J16)*(J11/J17)-J19)*((J10/J19)^-J20)</f>
        <v>1.4262418197134963</v>
      </c>
      <c r="K7" s="4">
        <f t="shared" si="5"/>
        <v>1.4029885479329218</v>
      </c>
      <c r="L7" t="s">
        <v>1341</v>
      </c>
    </row>
    <row r="8" spans="1:12">
      <c r="B8" s="4"/>
      <c r="C8" t="s">
        <v>1358</v>
      </c>
      <c r="D8" t="s">
        <v>1359</v>
      </c>
      <c r="E8" t="s">
        <v>1360</v>
      </c>
      <c r="F8" t="s">
        <v>1360</v>
      </c>
      <c r="G8" t="s">
        <v>1360</v>
      </c>
      <c r="H8" t="s">
        <v>1360</v>
      </c>
      <c r="I8" t="s">
        <v>1360</v>
      </c>
      <c r="J8" t="s">
        <v>1360</v>
      </c>
      <c r="K8" t="s">
        <v>1360</v>
      </c>
    </row>
    <row r="9" spans="1:12" ht="15">
      <c r="A9" s="4" t="s">
        <v>1361</v>
      </c>
      <c r="C9" s="360">
        <f>C7</f>
        <v>2.4774169921875</v>
      </c>
      <c r="D9" s="360">
        <f>(1-D30)*D7</f>
        <v>1.3269324785028038</v>
      </c>
      <c r="E9" s="360">
        <f>(1-E30)*E7</f>
        <v>1.4149327813278818</v>
      </c>
      <c r="F9" s="360">
        <f t="shared" ref="F9:K9" si="6">(1-F30)*F7</f>
        <v>1.2355141406410661</v>
      </c>
      <c r="G9" s="360">
        <f t="shared" si="6"/>
        <v>1.0652182558600156</v>
      </c>
      <c r="H9" s="360">
        <f t="shared" si="6"/>
        <v>0.89100551170092035</v>
      </c>
      <c r="I9" s="360">
        <f t="shared" si="6"/>
        <v>0.72779006600236684</v>
      </c>
      <c r="J9" s="360">
        <f t="shared" si="6"/>
        <v>0.57049672788539851</v>
      </c>
      <c r="K9" s="360">
        <f t="shared" si="6"/>
        <v>0.4208965643798766</v>
      </c>
    </row>
    <row r="10" spans="1:12">
      <c r="A10" t="s">
        <v>1335</v>
      </c>
      <c r="B10" s="4">
        <v>40</v>
      </c>
      <c r="C10" s="4">
        <f>B10</f>
        <v>40</v>
      </c>
      <c r="D10" s="4">
        <f>C10</f>
        <v>40</v>
      </c>
      <c r="E10" s="4">
        <f t="shared" ref="E10:I14" si="7">D10</f>
        <v>40</v>
      </c>
      <c r="F10" s="4">
        <f t="shared" si="7"/>
        <v>40</v>
      </c>
      <c r="G10" s="4">
        <f t="shared" ref="G10:I12" si="8">B10</f>
        <v>40</v>
      </c>
      <c r="H10" s="4">
        <f t="shared" si="8"/>
        <v>40</v>
      </c>
      <c r="I10" s="4">
        <f t="shared" si="8"/>
        <v>40</v>
      </c>
      <c r="J10" s="4">
        <f t="shared" ref="J10:K14" si="9">I10</f>
        <v>40</v>
      </c>
      <c r="K10" s="4">
        <f t="shared" si="9"/>
        <v>40</v>
      </c>
    </row>
    <row r="11" spans="1:12">
      <c r="A11" t="s">
        <v>1336</v>
      </c>
      <c r="B11" s="4">
        <v>4</v>
      </c>
      <c r="C11" s="4">
        <f t="shared" ref="C11:C12" si="10">B11</f>
        <v>4</v>
      </c>
      <c r="D11" s="4">
        <f>C11</f>
        <v>4</v>
      </c>
      <c r="E11" s="4">
        <f t="shared" si="7"/>
        <v>4</v>
      </c>
      <c r="F11" s="4">
        <f t="shared" si="7"/>
        <v>4</v>
      </c>
      <c r="G11" s="4">
        <f t="shared" si="8"/>
        <v>4</v>
      </c>
      <c r="H11" s="4">
        <f t="shared" si="8"/>
        <v>4</v>
      </c>
      <c r="I11" s="4">
        <f t="shared" si="8"/>
        <v>4</v>
      </c>
      <c r="J11" s="4">
        <f t="shared" si="9"/>
        <v>4</v>
      </c>
      <c r="K11" s="4">
        <f t="shared" si="9"/>
        <v>4</v>
      </c>
    </row>
    <row r="12" spans="1:12">
      <c r="A12" t="s">
        <v>1337</v>
      </c>
      <c r="B12" s="4">
        <f>B11/C17</f>
        <v>66.666666666666671</v>
      </c>
      <c r="C12" s="4">
        <f t="shared" si="10"/>
        <v>66.666666666666671</v>
      </c>
      <c r="D12" s="4">
        <f>C12</f>
        <v>66.666666666666671</v>
      </c>
      <c r="E12" s="4">
        <f t="shared" si="7"/>
        <v>66.666666666666671</v>
      </c>
      <c r="F12" s="4">
        <f t="shared" si="7"/>
        <v>66.666666666666671</v>
      </c>
      <c r="G12" s="4">
        <f t="shared" si="8"/>
        <v>66.666666666666671</v>
      </c>
      <c r="H12" s="4">
        <f t="shared" si="8"/>
        <v>66.666666666666671</v>
      </c>
      <c r="I12" s="4">
        <f t="shared" si="8"/>
        <v>66.666666666666671</v>
      </c>
      <c r="J12" s="4">
        <f t="shared" si="9"/>
        <v>66.666666666666671</v>
      </c>
      <c r="K12" s="4">
        <f t="shared" si="9"/>
        <v>66.666666666666671</v>
      </c>
    </row>
    <row r="13" spans="1:12" ht="15.75">
      <c r="A13" s="2" t="s">
        <v>710</v>
      </c>
      <c r="C13" s="4">
        <v>0</v>
      </c>
      <c r="D13" s="361">
        <f>C13</f>
        <v>0</v>
      </c>
      <c r="E13" s="361">
        <f t="shared" si="7"/>
        <v>0</v>
      </c>
      <c r="F13" s="361">
        <f t="shared" si="7"/>
        <v>0</v>
      </c>
      <c r="G13" s="361">
        <f t="shared" si="7"/>
        <v>0</v>
      </c>
      <c r="H13" s="361">
        <f t="shared" si="7"/>
        <v>0</v>
      </c>
      <c r="I13" s="361">
        <f t="shared" si="7"/>
        <v>0</v>
      </c>
      <c r="J13" s="361">
        <f t="shared" si="9"/>
        <v>0</v>
      </c>
      <c r="K13" s="361">
        <f t="shared" si="9"/>
        <v>0</v>
      </c>
    </row>
    <row r="14" spans="1:12" ht="15.75">
      <c r="A14" s="354" t="s">
        <v>5</v>
      </c>
      <c r="C14" s="355">
        <v>0.2</v>
      </c>
      <c r="D14" s="361">
        <f>C14</f>
        <v>0.2</v>
      </c>
      <c r="E14" s="361">
        <f t="shared" si="7"/>
        <v>0.2</v>
      </c>
      <c r="F14" s="361">
        <f t="shared" si="7"/>
        <v>0.2</v>
      </c>
      <c r="G14" s="361">
        <f t="shared" si="7"/>
        <v>0.2</v>
      </c>
      <c r="H14" s="361">
        <f t="shared" si="7"/>
        <v>0.2</v>
      </c>
      <c r="I14" s="361">
        <f t="shared" si="7"/>
        <v>0.2</v>
      </c>
      <c r="J14" s="361">
        <f t="shared" si="9"/>
        <v>0.2</v>
      </c>
      <c r="K14" s="361">
        <f t="shared" si="9"/>
        <v>0.2</v>
      </c>
    </row>
    <row r="15" spans="1:12" ht="15.75">
      <c r="A15" s="2" t="s">
        <v>556</v>
      </c>
      <c r="C15" s="4">
        <v>0.5</v>
      </c>
      <c r="D15" s="361">
        <f t="shared" ref="D15:K17" si="11">C15</f>
        <v>0.5</v>
      </c>
      <c r="E15" s="361">
        <f t="shared" si="11"/>
        <v>0.5</v>
      </c>
      <c r="F15" s="361">
        <f t="shared" si="11"/>
        <v>0.5</v>
      </c>
      <c r="G15" s="361">
        <f t="shared" si="11"/>
        <v>0.5</v>
      </c>
      <c r="H15" s="361">
        <f t="shared" si="11"/>
        <v>0.5</v>
      </c>
      <c r="I15" s="361">
        <f t="shared" si="11"/>
        <v>0.5</v>
      </c>
      <c r="J15" s="361">
        <f t="shared" si="11"/>
        <v>0.5</v>
      </c>
      <c r="K15" s="361">
        <f t="shared" si="11"/>
        <v>0.5</v>
      </c>
    </row>
    <row r="16" spans="1:12" ht="15.75">
      <c r="A16" s="2" t="s">
        <v>457</v>
      </c>
      <c r="C16" s="4">
        <v>0.35</v>
      </c>
      <c r="D16" s="361">
        <f t="shared" si="11"/>
        <v>0.35</v>
      </c>
      <c r="E16" s="361">
        <f t="shared" si="11"/>
        <v>0.35</v>
      </c>
      <c r="F16" s="361">
        <f t="shared" si="11"/>
        <v>0.35</v>
      </c>
      <c r="G16" s="361">
        <f t="shared" si="11"/>
        <v>0.35</v>
      </c>
      <c r="H16" s="361">
        <f t="shared" si="11"/>
        <v>0.35</v>
      </c>
      <c r="I16" s="361">
        <f t="shared" si="11"/>
        <v>0.35</v>
      </c>
      <c r="J16" s="361">
        <f t="shared" si="11"/>
        <v>0.35</v>
      </c>
      <c r="K16" s="361">
        <f t="shared" si="11"/>
        <v>0.35</v>
      </c>
    </row>
    <row r="17" spans="1:11" ht="15.75">
      <c r="A17" s="96" t="s">
        <v>1294</v>
      </c>
      <c r="C17" s="4">
        <v>0.06</v>
      </c>
      <c r="D17" s="361">
        <f t="shared" si="11"/>
        <v>0.06</v>
      </c>
      <c r="E17" s="361">
        <f t="shared" si="11"/>
        <v>0.06</v>
      </c>
      <c r="F17" s="361">
        <f t="shared" si="11"/>
        <v>0.06</v>
      </c>
      <c r="G17" s="361">
        <f t="shared" si="11"/>
        <v>0.06</v>
      </c>
      <c r="H17" s="361">
        <f t="shared" si="11"/>
        <v>0.06</v>
      </c>
      <c r="I17" s="361">
        <f t="shared" si="11"/>
        <v>0.06</v>
      </c>
      <c r="J17" s="361">
        <f t="shared" si="11"/>
        <v>0.06</v>
      </c>
      <c r="K17" s="361">
        <f t="shared" si="11"/>
        <v>0.06</v>
      </c>
    </row>
    <row r="18" spans="1:11">
      <c r="A18" s="96" t="s">
        <v>605</v>
      </c>
    </row>
    <row r="19" spans="1:11" ht="14.25">
      <c r="A19" s="96" t="s">
        <v>1362</v>
      </c>
      <c r="C19" s="4">
        <f>(1-C16)*(C11/C17)*(C20/(C20+1))</f>
        <v>32.5</v>
      </c>
      <c r="D19" s="4">
        <f t="shared" ref="D19:K19" si="12">$B$6/D29</f>
        <v>25.641025641025642</v>
      </c>
      <c r="E19" s="4">
        <f t="shared" si="12"/>
        <v>26.540942640793958</v>
      </c>
      <c r="F19" s="4">
        <f t="shared" si="12"/>
        <v>26.43565969015545</v>
      </c>
      <c r="G19" s="4">
        <f t="shared" si="12"/>
        <v>26.350461133069832</v>
      </c>
      <c r="H19" s="4">
        <f t="shared" si="12"/>
        <v>26.213626434773104</v>
      </c>
      <c r="I19" s="4">
        <f t="shared" si="12"/>
        <v>26.105105459526307</v>
      </c>
      <c r="J19" s="4">
        <f t="shared" si="12"/>
        <v>25.997846282621158</v>
      </c>
      <c r="K19" s="4">
        <f t="shared" si="12"/>
        <v>25.913459106448872</v>
      </c>
    </row>
    <row r="20" spans="1:11" ht="14.25">
      <c r="A20" s="2" t="s">
        <v>1299</v>
      </c>
      <c r="C20" s="213">
        <f>-(0.5-(C17-C13)/(C14^2)-SQRT((0.5-(C17-C13)/(C14^2))^2+2*C17/(C14^2)))</f>
        <v>2.9999999999999991</v>
      </c>
      <c r="D20" s="213">
        <f>-(0.5-(D17-D13)/(D14^2)-SQRT((0.5-(D17-D13)/(D14^2))^2+2*D17/(D14^2)))</f>
        <v>2.9999999999999991</v>
      </c>
      <c r="E20" s="4">
        <f t="shared" ref="E20:H20" si="13">((E17-E13-0.5*(E14^2))+SQRT((E17-E13-0.5*(E14^2))^2+2*(E14^2)*E17))/(E14^2)</f>
        <v>2.9999999999999991</v>
      </c>
      <c r="F20" s="4">
        <f t="shared" si="13"/>
        <v>2.9999999999999991</v>
      </c>
      <c r="G20" s="4">
        <f t="shared" si="13"/>
        <v>2.9999999999999991</v>
      </c>
      <c r="H20" s="4">
        <f t="shared" si="13"/>
        <v>2.9999999999999991</v>
      </c>
      <c r="I20" s="4">
        <f>((I17-I13-0.5*(I14^2))+SQRT((I17-I13-0.5*(I14^2))^2+2*(I14^2)*I17))/(I14^2)</f>
        <v>2.9999999999999991</v>
      </c>
      <c r="J20" s="4">
        <f t="shared" ref="J20:K20" si="14">((J17-J13-0.5*(J14^2))+SQRT((J17-J13-0.5*(J14^2))^2+2*(J14^2)*J17))/(J14^2)</f>
        <v>2.9999999999999991</v>
      </c>
      <c r="K20" s="4">
        <f t="shared" si="14"/>
        <v>2.9999999999999991</v>
      </c>
    </row>
    <row r="21" spans="1:11">
      <c r="A21" s="96" t="s">
        <v>1363</v>
      </c>
      <c r="B21" t="s">
        <v>1364</v>
      </c>
      <c r="C21" t="s">
        <v>1365</v>
      </c>
      <c r="D21" t="s">
        <v>1365</v>
      </c>
      <c r="E21" t="s">
        <v>1365</v>
      </c>
      <c r="F21" t="s">
        <v>1365</v>
      </c>
      <c r="G21" t="s">
        <v>1365</v>
      </c>
      <c r="H21" t="s">
        <v>1365</v>
      </c>
      <c r="I21" t="s">
        <v>1365</v>
      </c>
      <c r="J21" t="s">
        <v>1365</v>
      </c>
      <c r="K21" t="s">
        <v>1365</v>
      </c>
    </row>
    <row r="22" spans="1:11" ht="18.75">
      <c r="A22" s="96" t="s">
        <v>1366</v>
      </c>
      <c r="B22" s="362">
        <f>B12/B12</f>
        <v>1</v>
      </c>
      <c r="C22" s="362">
        <f>C19/C10</f>
        <v>0.8125</v>
      </c>
      <c r="D22" s="362">
        <f>D19/D10</f>
        <v>0.64102564102564108</v>
      </c>
      <c r="E22" s="362">
        <f t="shared" ref="E22:H22" si="15">E19/E10</f>
        <v>0.66352356601984896</v>
      </c>
      <c r="F22" s="362">
        <f t="shared" si="15"/>
        <v>0.66089149225388621</v>
      </c>
      <c r="G22" s="362">
        <f t="shared" si="15"/>
        <v>0.65876152832674584</v>
      </c>
      <c r="H22" s="362">
        <f t="shared" si="15"/>
        <v>0.65534066086932763</v>
      </c>
      <c r="I22" s="362">
        <f>I19/I10</f>
        <v>0.65262763648815769</v>
      </c>
      <c r="J22" s="362">
        <f t="shared" ref="J22:K22" si="16">J19/J10</f>
        <v>0.64994615706552894</v>
      </c>
      <c r="K22" s="362">
        <f t="shared" si="16"/>
        <v>0.64783647766122177</v>
      </c>
    </row>
    <row r="23" spans="1:11" ht="18.75">
      <c r="A23" s="96" t="s">
        <v>1367</v>
      </c>
      <c r="B23" s="362">
        <f>B12/B10</f>
        <v>1.6666666666666667</v>
      </c>
      <c r="C23" s="362">
        <f>C12/C10</f>
        <v>1.6666666666666667</v>
      </c>
      <c r="D23" s="362">
        <f>D12/D10</f>
        <v>1.6666666666666667</v>
      </c>
      <c r="E23" s="362">
        <f t="shared" ref="E23:H23" si="17">E12/E10</f>
        <v>1.6666666666666667</v>
      </c>
      <c r="F23" s="362">
        <f t="shared" si="17"/>
        <v>1.6666666666666667</v>
      </c>
      <c r="G23" s="362">
        <f t="shared" si="17"/>
        <v>1.6666666666666667</v>
      </c>
      <c r="H23" s="362">
        <f t="shared" si="17"/>
        <v>1.6666666666666667</v>
      </c>
      <c r="I23" s="362">
        <f>I12/I10</f>
        <v>1.6666666666666667</v>
      </c>
      <c r="J23" s="362">
        <f t="shared" ref="J23:K23" si="18">J12/J10</f>
        <v>1.6666666666666667</v>
      </c>
      <c r="K23" s="362">
        <f t="shared" si="18"/>
        <v>1.6666666666666667</v>
      </c>
    </row>
    <row r="24" spans="1:11">
      <c r="A24" s="96" t="s">
        <v>566</v>
      </c>
      <c r="B24" s="356" t="s">
        <v>1338</v>
      </c>
    </row>
    <row r="25" spans="1:11">
      <c r="A25" s="96" t="s">
        <v>1339</v>
      </c>
      <c r="B25" s="357" t="s">
        <v>1340</v>
      </c>
    </row>
    <row r="26" spans="1:11">
      <c r="A26" s="96" t="s">
        <v>1341</v>
      </c>
      <c r="B26" s="356" t="s">
        <v>1342</v>
      </c>
    </row>
    <row r="27" spans="1:11" ht="14.25">
      <c r="A27" s="96" t="s">
        <v>1362</v>
      </c>
      <c r="B27" s="357" t="s">
        <v>553</v>
      </c>
      <c r="D27" s="348" t="s">
        <v>1368</v>
      </c>
      <c r="E27" s="348" t="s">
        <v>1368</v>
      </c>
      <c r="F27" s="348" t="s">
        <v>1368</v>
      </c>
      <c r="G27" s="348" t="s">
        <v>1368</v>
      </c>
      <c r="H27" s="348" t="s">
        <v>1368</v>
      </c>
      <c r="I27" s="348" t="s">
        <v>1368</v>
      </c>
      <c r="J27" s="348" t="s">
        <v>1368</v>
      </c>
      <c r="K27" s="348" t="s">
        <v>1368</v>
      </c>
    </row>
    <row r="28" spans="1:11" ht="14.25">
      <c r="A28" s="2" t="s">
        <v>1299</v>
      </c>
      <c r="B28" s="348" t="s">
        <v>1344</v>
      </c>
    </row>
    <row r="29" spans="1:11">
      <c r="C29" s="96" t="s">
        <v>1369</v>
      </c>
      <c r="D29" s="4">
        <v>2.6</v>
      </c>
      <c r="E29" s="4">
        <v>2.5118424604934217</v>
      </c>
      <c r="F29" s="4">
        <v>2.5218461520554794</v>
      </c>
      <c r="G29" s="4">
        <v>2.5299999999999998</v>
      </c>
      <c r="H29" s="4">
        <v>2.5432065583353047</v>
      </c>
      <c r="I29" s="4">
        <v>2.5537788678933908</v>
      </c>
      <c r="J29" s="4">
        <v>2.564314979861678</v>
      </c>
      <c r="K29" s="4">
        <v>2.5726656712563658</v>
      </c>
    </row>
    <row r="30" spans="1:11">
      <c r="C30" s="363" t="s">
        <v>1370</v>
      </c>
      <c r="D30">
        <v>0</v>
      </c>
      <c r="E30">
        <v>0.1</v>
      </c>
      <c r="F30">
        <f>E30+0.1</f>
        <v>0.2</v>
      </c>
      <c r="G30">
        <f t="shared" ref="G30:K30" si="19">F30+0.1</f>
        <v>0.30000000000000004</v>
      </c>
      <c r="H30">
        <f t="shared" si="19"/>
        <v>0.4</v>
      </c>
      <c r="I30">
        <f t="shared" si="19"/>
        <v>0.5</v>
      </c>
      <c r="J30">
        <f t="shared" si="19"/>
        <v>0.6</v>
      </c>
      <c r="K30">
        <f t="shared" si="19"/>
        <v>0.7</v>
      </c>
    </row>
    <row r="31" spans="1:11">
      <c r="A31" s="96" t="s">
        <v>1371</v>
      </c>
      <c r="B31" s="4">
        <f>$B$6-(1-C15)*B10</f>
        <v>46.666666666666671</v>
      </c>
      <c r="C31" s="4">
        <f>$B$6-C6</f>
        <v>27.04233805338545</v>
      </c>
      <c r="D31" s="4">
        <f>$B$6-D6</f>
        <v>14.18341768819694</v>
      </c>
      <c r="E31" s="4">
        <f t="shared" ref="E31:K31" si="20">$B$6-E6-E9</f>
        <v>14.183442667325618</v>
      </c>
      <c r="F31" s="4">
        <f t="shared" si="20"/>
        <v>14.193164802268647</v>
      </c>
      <c r="G31" s="4">
        <f t="shared" si="20"/>
        <v>14.226945605522006</v>
      </c>
      <c r="H31" s="4">
        <f t="shared" si="20"/>
        <v>14.183418410512465</v>
      </c>
      <c r="I31" s="4">
        <f t="shared" si="20"/>
        <v>14.175272166820893</v>
      </c>
      <c r="J31" s="4">
        <f t="shared" si="20"/>
        <v>14.164345036648747</v>
      </c>
      <c r="K31" s="4">
        <f t="shared" si="20"/>
        <v>14.18239775787357</v>
      </c>
    </row>
    <row r="32" spans="1:11" ht="15">
      <c r="A32" s="96" t="s">
        <v>1372</v>
      </c>
      <c r="C32" s="360">
        <f>C31-$B$31</f>
        <v>-19.624328613281222</v>
      </c>
      <c r="D32" s="360">
        <f>D31-$B$31</f>
        <v>-32.483248978469732</v>
      </c>
      <c r="E32" s="360">
        <f>E31-$B$31</f>
        <v>-32.48322399934105</v>
      </c>
      <c r="F32" s="360">
        <f t="shared" ref="F32:K32" si="21">F31-$B$31</f>
        <v>-32.473501864398024</v>
      </c>
      <c r="G32" s="360">
        <f t="shared" si="21"/>
        <v>-32.439721061144667</v>
      </c>
      <c r="H32" s="360">
        <f t="shared" si="21"/>
        <v>-32.483248256154205</v>
      </c>
      <c r="I32" s="360">
        <f t="shared" si="21"/>
        <v>-32.491394499845782</v>
      </c>
      <c r="J32" s="360">
        <f t="shared" si="21"/>
        <v>-32.502321630017924</v>
      </c>
      <c r="K32" s="360">
        <f t="shared" si="21"/>
        <v>-32.484268908793098</v>
      </c>
    </row>
    <row r="33" spans="1:11">
      <c r="A33" s="364" t="s">
        <v>1373</v>
      </c>
      <c r="D33" s="4">
        <f t="array" ref="D33">SUM(ABS(E33:K33))</f>
        <v>8.1538836088590472E-2</v>
      </c>
      <c r="E33" s="4">
        <f>$D$32-E32</f>
        <v>-2.4979128681934526E-5</v>
      </c>
      <c r="F33" s="4">
        <f>$D$32-F32</f>
        <v>-9.7471140717075855E-3</v>
      </c>
      <c r="G33" s="4">
        <f t="shared" ref="G33:K33" si="22">$D$32-G32</f>
        <v>-4.3527917325064891E-2</v>
      </c>
      <c r="H33" s="4">
        <f t="shared" si="22"/>
        <v>-7.2231552650237063E-7</v>
      </c>
      <c r="I33" s="4">
        <f t="shared" si="22"/>
        <v>8.145521376050624E-3</v>
      </c>
      <c r="J33" s="4">
        <f t="shared" si="22"/>
        <v>1.9072651548192709E-2</v>
      </c>
      <c r="K33" s="4">
        <f t="shared" si="22"/>
        <v>1.0199303233662249E-3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activeCell="E15" sqref="E15"/>
    </sheetView>
  </sheetViews>
  <sheetFormatPr defaultRowHeight="12.75"/>
  <cols>
    <col min="1" max="1" width="10.28515625" bestFit="1" customWidth="1"/>
    <col min="2" max="2" width="10.85546875" bestFit="1" customWidth="1"/>
    <col min="4" max="4" width="33.28515625" bestFit="1" customWidth="1"/>
  </cols>
  <sheetData>
    <row r="1" spans="1:4">
      <c r="B1" s="129" t="s">
        <v>1374</v>
      </c>
    </row>
    <row r="2" spans="1:4">
      <c r="A2" s="103" t="s">
        <v>1375</v>
      </c>
      <c r="B2" s="103"/>
      <c r="C2" s="103"/>
    </row>
    <row r="3" spans="1:4" ht="18.75">
      <c r="A3" s="352" t="s">
        <v>553</v>
      </c>
      <c r="B3" s="352"/>
      <c r="C3" s="352"/>
    </row>
    <row r="4" spans="1:4" ht="15">
      <c r="B4" s="353" t="s">
        <v>1330</v>
      </c>
      <c r="C4" s="353" t="s">
        <v>1331</v>
      </c>
    </row>
    <row r="5" spans="1:4">
      <c r="A5" t="s">
        <v>445</v>
      </c>
      <c r="B5" s="4">
        <f>B10</f>
        <v>100</v>
      </c>
      <c r="C5" s="4">
        <f>C10-C15*C19*(C19/C10)^C20</f>
        <v>92.96875</v>
      </c>
      <c r="D5" s="4" t="s">
        <v>1376</v>
      </c>
    </row>
    <row r="6" spans="1:4">
      <c r="A6" t="s">
        <v>1332</v>
      </c>
      <c r="B6" s="4">
        <f>B11/C17</f>
        <v>75</v>
      </c>
      <c r="C6" s="4">
        <f>B6+((1-C15)*C19-B6)*(C19/C10)^C20</f>
        <v>53.90625</v>
      </c>
      <c r="D6" s="4" t="s">
        <v>1377</v>
      </c>
    </row>
    <row r="7" spans="1:4">
      <c r="A7" t="s">
        <v>1333</v>
      </c>
      <c r="B7" s="4">
        <f>B5-B6</f>
        <v>25</v>
      </c>
      <c r="C7" s="4">
        <f>C5-C6</f>
        <v>39.0625</v>
      </c>
      <c r="D7" s="4" t="s">
        <v>1378</v>
      </c>
    </row>
    <row r="8" spans="1:4">
      <c r="B8" s="4"/>
    </row>
    <row r="9" spans="1:4">
      <c r="A9" t="s">
        <v>583</v>
      </c>
      <c r="B9" s="4" t="s">
        <v>553</v>
      </c>
    </row>
    <row r="10" spans="1:4">
      <c r="A10" t="s">
        <v>1335</v>
      </c>
      <c r="B10" s="4">
        <v>100</v>
      </c>
      <c r="C10" s="4">
        <f>B10</f>
        <v>100</v>
      </c>
      <c r="D10" s="4" t="s">
        <v>553</v>
      </c>
    </row>
    <row r="11" spans="1:4">
      <c r="A11" t="s">
        <v>1336</v>
      </c>
      <c r="B11" s="4">
        <v>3</v>
      </c>
      <c r="C11" s="4">
        <f t="shared" ref="C11:C12" si="0">B11</f>
        <v>3</v>
      </c>
      <c r="D11" s="4" t="s">
        <v>553</v>
      </c>
    </row>
    <row r="12" spans="1:4">
      <c r="A12" t="s">
        <v>1337</v>
      </c>
      <c r="B12" s="4">
        <f>B11/C17</f>
        <v>75</v>
      </c>
      <c r="C12" s="4">
        <f t="shared" si="0"/>
        <v>75</v>
      </c>
      <c r="D12" s="4" t="s">
        <v>553</v>
      </c>
    </row>
    <row r="13" spans="1:4">
      <c r="A13" s="2" t="s">
        <v>710</v>
      </c>
      <c r="C13" s="4">
        <v>0.04</v>
      </c>
      <c r="D13" s="4" t="s">
        <v>553</v>
      </c>
    </row>
    <row r="14" spans="1:4" ht="15">
      <c r="A14" s="354" t="s">
        <v>5</v>
      </c>
      <c r="C14" s="355">
        <v>0.2</v>
      </c>
      <c r="D14" s="4" t="s">
        <v>553</v>
      </c>
    </row>
    <row r="15" spans="1:4">
      <c r="A15" s="2" t="s">
        <v>556</v>
      </c>
      <c r="C15" s="4">
        <v>0.5</v>
      </c>
      <c r="D15" s="4" t="s">
        <v>553</v>
      </c>
    </row>
    <row r="16" spans="1:4">
      <c r="A16" s="2" t="s">
        <v>457</v>
      </c>
      <c r="C16" s="4">
        <v>0</v>
      </c>
      <c r="D16" s="4" t="s">
        <v>553</v>
      </c>
    </row>
    <row r="17" spans="1:4">
      <c r="A17" s="96" t="s">
        <v>1294</v>
      </c>
      <c r="C17" s="4">
        <v>0.04</v>
      </c>
      <c r="D17" s="4" t="s">
        <v>553</v>
      </c>
    </row>
    <row r="18" spans="1:4">
      <c r="A18" s="96" t="s">
        <v>605</v>
      </c>
    </row>
    <row r="19" spans="1:4" ht="14.25">
      <c r="A19" s="96" t="s">
        <v>1295</v>
      </c>
      <c r="C19" s="4">
        <f>(1-C16)*(C11/C17)*(C20/(C20+1))</f>
        <v>37.499999999999993</v>
      </c>
      <c r="D19" s="4" t="s">
        <v>1343</v>
      </c>
    </row>
    <row r="20" spans="1:4" ht="14.25">
      <c r="A20" s="2" t="s">
        <v>1299</v>
      </c>
      <c r="C20" s="213">
        <f>-(0.5-(C17-C13)/(C14^2)-SQRT((0.5-(C17-C13)/(C14^2))^2+2*C17/(C14^2)))</f>
        <v>0.99999999999999978</v>
      </c>
      <c r="D20" t="s">
        <v>553</v>
      </c>
    </row>
    <row r="22" spans="1:4">
      <c r="A22" s="96" t="s">
        <v>566</v>
      </c>
      <c r="B22" s="356" t="s">
        <v>1338</v>
      </c>
    </row>
    <row r="23" spans="1:4">
      <c r="A23" s="96" t="s">
        <v>1339</v>
      </c>
      <c r="B23" s="357" t="s">
        <v>1340</v>
      </c>
    </row>
    <row r="24" spans="1:4">
      <c r="A24" s="96" t="s">
        <v>1341</v>
      </c>
      <c r="B24" s="356" t="s">
        <v>1342</v>
      </c>
    </row>
    <row r="25" spans="1:4" ht="14.25">
      <c r="A25" s="96" t="s">
        <v>1295</v>
      </c>
      <c r="B25" s="357" t="s">
        <v>1343</v>
      </c>
    </row>
    <row r="26" spans="1:4" ht="14.25">
      <c r="A26" s="2" t="s">
        <v>1299</v>
      </c>
      <c r="B26" s="358" t="s">
        <v>1344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L50"/>
  <sheetViews>
    <sheetView workbookViewId="0">
      <selection activeCell="B1" sqref="B1"/>
    </sheetView>
  </sheetViews>
  <sheetFormatPr defaultRowHeight="12.75"/>
  <cols>
    <col min="1" max="1" width="11.28515625" bestFit="1" customWidth="1"/>
    <col min="2" max="2" width="15.7109375" customWidth="1"/>
    <col min="3" max="3" width="10.7109375" customWidth="1"/>
  </cols>
  <sheetData>
    <row r="1" spans="1:3" ht="15.75">
      <c r="B1" s="33" t="s">
        <v>764</v>
      </c>
    </row>
    <row r="2" spans="1:3">
      <c r="A2" t="s">
        <v>583</v>
      </c>
      <c r="B2" s="250" t="s">
        <v>765</v>
      </c>
    </row>
    <row r="3" spans="1:3" ht="15.75">
      <c r="A3" s="35" t="s">
        <v>545</v>
      </c>
      <c r="B3" s="4">
        <v>80</v>
      </c>
      <c r="C3" s="35" t="s">
        <v>553</v>
      </c>
    </row>
    <row r="4" spans="1:3" ht="15.75">
      <c r="A4" s="35" t="s">
        <v>766</v>
      </c>
      <c r="B4" s="4">
        <v>20</v>
      </c>
    </row>
    <row r="5" spans="1:3">
      <c r="A5" t="s">
        <v>35</v>
      </c>
      <c r="B5" s="4">
        <v>100</v>
      </c>
    </row>
    <row r="6" spans="1:3">
      <c r="A6" s="35" t="s">
        <v>767</v>
      </c>
      <c r="B6" s="4">
        <f>B21</f>
        <v>29.953095382687355</v>
      </c>
    </row>
    <row r="7" spans="1:3" ht="14.25">
      <c r="A7" s="2" t="s">
        <v>768</v>
      </c>
      <c r="B7" s="4">
        <v>0</v>
      </c>
    </row>
    <row r="8" spans="1:3" ht="14.25">
      <c r="A8" s="2" t="s">
        <v>769</v>
      </c>
      <c r="B8" s="4">
        <v>0</v>
      </c>
    </row>
    <row r="9" spans="1:3">
      <c r="A9" s="2" t="s">
        <v>2</v>
      </c>
      <c r="B9" s="4">
        <v>0</v>
      </c>
    </row>
    <row r="10" spans="1:3">
      <c r="A10" s="251" t="s">
        <v>2</v>
      </c>
      <c r="B10" s="4">
        <v>7.0000000000000007E-2</v>
      </c>
    </row>
    <row r="11" spans="1:3" ht="14.25">
      <c r="A11" s="2" t="s">
        <v>770</v>
      </c>
      <c r="B11" s="4">
        <v>-0.02</v>
      </c>
    </row>
    <row r="12" spans="1:3" ht="14.25">
      <c r="A12" s="2" t="s">
        <v>771</v>
      </c>
      <c r="B12" s="4">
        <v>0.04</v>
      </c>
    </row>
    <row r="13" spans="1:3">
      <c r="A13" s="2"/>
      <c r="B13" s="4"/>
    </row>
    <row r="14" spans="1:3">
      <c r="A14" s="96" t="s">
        <v>605</v>
      </c>
      <c r="B14" s="4"/>
    </row>
    <row r="15" spans="1:3">
      <c r="A15" s="96" t="s">
        <v>772</v>
      </c>
      <c r="B15" s="127">
        <f>B11*B18+B12*B19-B10</f>
        <v>0</v>
      </c>
      <c r="C15" s="35" t="s">
        <v>553</v>
      </c>
    </row>
    <row r="16" spans="1:3">
      <c r="A16" s="96" t="s">
        <v>773</v>
      </c>
      <c r="B16" s="127">
        <f>((B3/B20)^B18)*((B4/B21)^B19)-EXP(-B10*B22)</f>
        <v>-8.2809814561102257E-11</v>
      </c>
      <c r="C16" s="35" t="s">
        <v>553</v>
      </c>
    </row>
    <row r="17" spans="1:6">
      <c r="A17" t="s">
        <v>774</v>
      </c>
      <c r="B17" s="1">
        <f t="array" ref="B17">SUM(ABS(B15:B16))</f>
        <v>8.2809814561102257E-11</v>
      </c>
    </row>
    <row r="18" spans="1:6">
      <c r="A18" s="2" t="s">
        <v>562</v>
      </c>
      <c r="B18" s="1">
        <v>-4.512062808850776E-2</v>
      </c>
    </row>
    <row r="19" spans="1:6">
      <c r="A19" s="2" t="s">
        <v>569</v>
      </c>
      <c r="B19" s="1">
        <v>1.7274396859557457</v>
      </c>
    </row>
    <row r="20" spans="1:6">
      <c r="A20" s="35" t="s">
        <v>775</v>
      </c>
      <c r="B20" s="114">
        <v>65.370849466228435</v>
      </c>
      <c r="C20" s="35" t="s">
        <v>553</v>
      </c>
    </row>
    <row r="21" spans="1:6">
      <c r="A21" t="s">
        <v>767</v>
      </c>
      <c r="B21" s="3">
        <v>29.953095382687355</v>
      </c>
      <c r="C21" s="35"/>
    </row>
    <row r="22" spans="1:6" ht="15.75">
      <c r="A22" s="35" t="s">
        <v>776</v>
      </c>
      <c r="B22" s="252">
        <f>(1/B12)*(LN(B21/B4))</f>
        <v>10.097509933568888</v>
      </c>
      <c r="C22" s="35"/>
    </row>
    <row r="23" spans="1:6" ht="15.75">
      <c r="A23" s="35" t="s">
        <v>777</v>
      </c>
      <c r="B23" s="252">
        <f>(1/B11)*(LN(B20/B3))</f>
        <v>10.09751011962663</v>
      </c>
      <c r="C23" s="35"/>
    </row>
    <row r="24" spans="1:6">
      <c r="A24" s="35" t="s">
        <v>50</v>
      </c>
      <c r="B24" s="252">
        <f>ABS(B37)+ABS(B17)</f>
        <v>5.19377265423282E-6</v>
      </c>
      <c r="C24" s="35"/>
    </row>
    <row r="25" spans="1:6">
      <c r="A25" s="35" t="s">
        <v>778</v>
      </c>
      <c r="B25" s="252">
        <f>B20-B21</f>
        <v>35.417754083541084</v>
      </c>
      <c r="C25" s="35"/>
    </row>
    <row r="26" spans="1:6">
      <c r="A26" s="35" t="str">
        <f>B2</f>
        <v>Deterministic</v>
      </c>
      <c r="B26" s="252"/>
      <c r="C26" s="35"/>
    </row>
    <row r="27" spans="1:6">
      <c r="A27" s="96" t="s">
        <v>772</v>
      </c>
      <c r="B27" s="127" t="s">
        <v>779</v>
      </c>
      <c r="C27" s="35"/>
      <c r="F27" s="35" t="s">
        <v>780</v>
      </c>
    </row>
    <row r="28" spans="1:6">
      <c r="A28" s="96" t="s">
        <v>773</v>
      </c>
      <c r="B28" s="127" t="s">
        <v>781</v>
      </c>
      <c r="C28" s="35"/>
      <c r="F28" s="35" t="s">
        <v>782</v>
      </c>
    </row>
    <row r="29" spans="1:6">
      <c r="A29" s="96" t="s">
        <v>50</v>
      </c>
      <c r="B29" s="127" t="s">
        <v>783</v>
      </c>
    </row>
    <row r="31" spans="1:6" ht="15.75">
      <c r="A31" s="35" t="s">
        <v>776</v>
      </c>
      <c r="B31" s="35" t="s">
        <v>784</v>
      </c>
      <c r="F31" s="35" t="s">
        <v>785</v>
      </c>
    </row>
    <row r="32" spans="1:6" ht="15.75">
      <c r="A32" s="35" t="s">
        <v>777</v>
      </c>
      <c r="B32" s="252" t="s">
        <v>786</v>
      </c>
      <c r="F32" s="35" t="s">
        <v>785</v>
      </c>
    </row>
    <row r="34" spans="1:12">
      <c r="A34" s="35" t="s">
        <v>787</v>
      </c>
      <c r="B34" s="193">
        <f>B20*((1/B10)+(B11/B10)*(EXP(-B10*B23)/(B10-B11)))</f>
        <v>831.51569045833401</v>
      </c>
    </row>
    <row r="35" spans="1:12">
      <c r="A35" s="35" t="s">
        <v>788</v>
      </c>
      <c r="B35" s="193">
        <f>B21*((1/B10)+(B12/B10)*(EXP(-B10*B23)/(B10-B12)))</f>
        <v>709.29346304242188</v>
      </c>
    </row>
    <row r="36" spans="1:12">
      <c r="A36" s="35" t="s">
        <v>789</v>
      </c>
      <c r="B36" s="193">
        <f>B3/(B10-B11)-B4/(B10-B12)-B5</f>
        <v>122.22222222222229</v>
      </c>
    </row>
    <row r="37" spans="1:12">
      <c r="A37" s="35" t="s">
        <v>790</v>
      </c>
      <c r="B37" s="127">
        <f>B34-B35-B36</f>
        <v>5.1936898444182589E-6</v>
      </c>
    </row>
    <row r="38" spans="1:12">
      <c r="A38" s="35" t="s">
        <v>553</v>
      </c>
      <c r="B38" s="35" t="s">
        <v>553</v>
      </c>
    </row>
    <row r="39" spans="1:12">
      <c r="A39" s="35" t="s">
        <v>775</v>
      </c>
      <c r="B39" s="35" t="s">
        <v>791</v>
      </c>
    </row>
    <row r="40" spans="1:12">
      <c r="A40" s="35" t="s">
        <v>767</v>
      </c>
      <c r="B40" s="35" t="s">
        <v>792</v>
      </c>
    </row>
    <row r="41" spans="1:12">
      <c r="A41" s="35" t="s">
        <v>789</v>
      </c>
      <c r="B41" s="193" t="s">
        <v>793</v>
      </c>
    </row>
    <row r="42" spans="1:12">
      <c r="A42" s="35" t="s">
        <v>790</v>
      </c>
      <c r="B42" s="127" t="s">
        <v>794</v>
      </c>
      <c r="F42" s="35" t="s">
        <v>795</v>
      </c>
    </row>
    <row r="44" spans="1:12">
      <c r="A44" s="35"/>
      <c r="B44" s="253" t="s">
        <v>796</v>
      </c>
      <c r="C44" s="103"/>
      <c r="D44" s="103"/>
      <c r="E44" s="103"/>
      <c r="F44" s="253"/>
      <c r="G44" s="103"/>
      <c r="H44" s="103"/>
    </row>
    <row r="45" spans="1:12">
      <c r="A45" s="35" t="s">
        <v>797</v>
      </c>
      <c r="B45">
        <v>1</v>
      </c>
      <c r="C45">
        <v>2</v>
      </c>
      <c r="D45">
        <v>3</v>
      </c>
      <c r="E45">
        <v>4</v>
      </c>
      <c r="F45">
        <v>5</v>
      </c>
      <c r="G45">
        <v>6</v>
      </c>
      <c r="H45">
        <v>7</v>
      </c>
      <c r="I45">
        <v>8</v>
      </c>
      <c r="J45">
        <v>9</v>
      </c>
      <c r="K45">
        <v>10</v>
      </c>
      <c r="L45">
        <v>11</v>
      </c>
    </row>
    <row r="46" spans="1:12">
      <c r="A46" s="35" t="s">
        <v>59</v>
      </c>
      <c r="B46" s="193">
        <f>$B$3*EXP($B$11*B45)</f>
        <v>78.415893864540422</v>
      </c>
      <c r="C46" s="4">
        <f t="shared" ref="C46:L46" si="0">$B$3*EXP($B$11*C45)</f>
        <v>76.863155132185852</v>
      </c>
      <c r="D46" s="4">
        <f t="shared" si="0"/>
        <v>75.341162686739892</v>
      </c>
      <c r="E46" s="4">
        <f t="shared" si="0"/>
        <v>73.849307710930859</v>
      </c>
      <c r="F46" s="4">
        <f t="shared" si="0"/>
        <v>72.386993442876758</v>
      </c>
      <c r="G46" s="4">
        <f t="shared" si="0"/>
        <v>70.953634937372598</v>
      </c>
      <c r="H46" s="4">
        <f t="shared" si="0"/>
        <v>69.548658831904476</v>
      </c>
      <c r="I46" s="4">
        <f t="shared" si="0"/>
        <v>68.171503117296908</v>
      </c>
      <c r="J46" s="4">
        <f t="shared" si="0"/>
        <v>66.82161691290176</v>
      </c>
      <c r="K46" s="112">
        <f t="shared" si="0"/>
        <v>65.498460246238551</v>
      </c>
      <c r="L46" s="4">
        <f t="shared" si="0"/>
        <v>64.201503836998285</v>
      </c>
    </row>
    <row r="47" spans="1:12">
      <c r="A47" s="35" t="s">
        <v>238</v>
      </c>
      <c r="B47" s="193">
        <f>$B$4*EXP($B$12*B45)</f>
        <v>20.816215483847763</v>
      </c>
      <c r="C47" s="4">
        <f t="shared" ref="C47:L47" si="1">$B$4*EXP($B$12*C45)</f>
        <v>21.665741353499172</v>
      </c>
      <c r="D47" s="4">
        <f t="shared" si="1"/>
        <v>22.549937031587515</v>
      </c>
      <c r="E47" s="4">
        <f t="shared" si="1"/>
        <v>23.470217419836207</v>
      </c>
      <c r="F47" s="4">
        <f t="shared" si="1"/>
        <v>24.428055163203396</v>
      </c>
      <c r="G47" s="4">
        <f t="shared" si="1"/>
        <v>25.424983006428093</v>
      </c>
      <c r="H47" s="4">
        <f t="shared" si="1"/>
        <v>26.462596246748738</v>
      </c>
      <c r="I47" s="4">
        <f t="shared" si="1"/>
        <v>27.542555286719143</v>
      </c>
      <c r="J47" s="4">
        <f t="shared" si="1"/>
        <v>28.666588291206804</v>
      </c>
      <c r="K47" s="112">
        <f t="shared" si="1"/>
        <v>29.836493952825407</v>
      </c>
      <c r="L47" s="4">
        <f t="shared" si="1"/>
        <v>31.054144370226719</v>
      </c>
    </row>
    <row r="48" spans="1:12">
      <c r="A48" s="35" t="s">
        <v>798</v>
      </c>
      <c r="B48" s="4">
        <f t="shared" ref="B48:L48" si="2">B46-B47</f>
        <v>57.599678380692659</v>
      </c>
      <c r="C48" s="4">
        <f t="shared" si="2"/>
        <v>55.197413778686681</v>
      </c>
      <c r="D48" s="4">
        <f t="shared" si="2"/>
        <v>52.791225655152374</v>
      </c>
      <c r="E48" s="4">
        <f t="shared" si="2"/>
        <v>50.379090291094656</v>
      </c>
      <c r="F48" s="4">
        <f t="shared" si="2"/>
        <v>47.958938279673362</v>
      </c>
      <c r="G48" s="4">
        <f t="shared" si="2"/>
        <v>45.528651930944505</v>
      </c>
      <c r="H48" s="4">
        <f t="shared" si="2"/>
        <v>43.086062585155737</v>
      </c>
      <c r="I48" s="4">
        <f t="shared" si="2"/>
        <v>40.628947830577765</v>
      </c>
      <c r="J48" s="4">
        <f t="shared" si="2"/>
        <v>38.155028621694953</v>
      </c>
      <c r="K48" s="112">
        <f t="shared" si="2"/>
        <v>35.661966293413144</v>
      </c>
      <c r="L48" s="4">
        <f t="shared" si="2"/>
        <v>33.147359466771562</v>
      </c>
    </row>
    <row r="49" spans="1:2">
      <c r="A49" s="35" t="s">
        <v>59</v>
      </c>
      <c r="B49" s="193" t="s">
        <v>799</v>
      </c>
    </row>
    <row r="50" spans="1:2">
      <c r="A50" s="35" t="s">
        <v>238</v>
      </c>
      <c r="B50" s="193" t="s">
        <v>800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G49"/>
  <sheetViews>
    <sheetView workbookViewId="0">
      <selection sqref="A1:G34"/>
    </sheetView>
  </sheetViews>
  <sheetFormatPr defaultRowHeight="12.75"/>
  <cols>
    <col min="2" max="2" width="16" customWidth="1"/>
    <col min="6" max="6" width="11.7109375" customWidth="1"/>
  </cols>
  <sheetData>
    <row r="1" spans="1:5" ht="15.75">
      <c r="A1" s="33" t="s">
        <v>815</v>
      </c>
      <c r="B1" s="33"/>
      <c r="C1" s="33"/>
      <c r="D1" s="33"/>
    </row>
    <row r="2" spans="1:5">
      <c r="A2" t="s">
        <v>583</v>
      </c>
      <c r="B2" s="250" t="s">
        <v>804</v>
      </c>
      <c r="D2" s="250" t="s">
        <v>816</v>
      </c>
    </row>
    <row r="3" spans="1:5" ht="15.75">
      <c r="A3" s="35" t="s">
        <v>545</v>
      </c>
      <c r="B3" s="4">
        <v>80</v>
      </c>
      <c r="D3" s="4">
        <v>80</v>
      </c>
      <c r="E3" s="35" t="s">
        <v>553</v>
      </c>
    </row>
    <row r="4" spans="1:5" ht="15.75">
      <c r="A4" s="35" t="s">
        <v>766</v>
      </c>
      <c r="B4" s="4">
        <v>20</v>
      </c>
      <c r="D4" s="4">
        <v>20</v>
      </c>
    </row>
    <row r="5" spans="1:5">
      <c r="A5" t="s">
        <v>35</v>
      </c>
      <c r="B5" s="4">
        <v>100</v>
      </c>
      <c r="D5" s="4">
        <v>100</v>
      </c>
    </row>
    <row r="6" spans="1:5">
      <c r="A6" t="s">
        <v>767</v>
      </c>
      <c r="B6" s="4">
        <v>29.953095382687355</v>
      </c>
      <c r="D6" s="4">
        <v>29.953095382687355</v>
      </c>
    </row>
    <row r="7" spans="1:5" ht="14.25">
      <c r="A7" s="2" t="s">
        <v>768</v>
      </c>
      <c r="B7" s="112">
        <v>0.3</v>
      </c>
      <c r="C7" s="18"/>
      <c r="D7" s="257">
        <v>0</v>
      </c>
    </row>
    <row r="8" spans="1:5" ht="14.25">
      <c r="A8" s="2" t="s">
        <v>769</v>
      </c>
      <c r="B8" s="112">
        <v>0.3</v>
      </c>
      <c r="C8" s="18"/>
      <c r="D8" s="257">
        <v>0</v>
      </c>
    </row>
    <row r="9" spans="1:5">
      <c r="A9" s="2" t="s">
        <v>2</v>
      </c>
      <c r="B9" s="4">
        <v>0</v>
      </c>
      <c r="D9" s="4">
        <v>0</v>
      </c>
    </row>
    <row r="10" spans="1:5">
      <c r="A10" s="251" t="s">
        <v>2</v>
      </c>
      <c r="B10" s="4">
        <v>7.0000000000000007E-2</v>
      </c>
      <c r="D10" s="4">
        <v>7.0000000000000007E-2</v>
      </c>
    </row>
    <row r="11" spans="1:5" ht="14.25">
      <c r="A11" s="2" t="s">
        <v>770</v>
      </c>
      <c r="B11" s="4">
        <v>-0.02</v>
      </c>
      <c r="D11" s="4">
        <v>-0.02</v>
      </c>
    </row>
    <row r="12" spans="1:5" ht="14.25">
      <c r="A12" s="2" t="s">
        <v>771</v>
      </c>
      <c r="B12" s="4">
        <v>0.04</v>
      </c>
      <c r="D12" s="4">
        <v>0.04</v>
      </c>
    </row>
    <row r="13" spans="1:5">
      <c r="A13" s="2"/>
      <c r="B13" s="4"/>
      <c r="D13" s="4"/>
    </row>
    <row r="14" spans="1:5">
      <c r="A14" s="96" t="s">
        <v>605</v>
      </c>
      <c r="B14" s="2" t="s">
        <v>553</v>
      </c>
      <c r="D14" s="2" t="s">
        <v>553</v>
      </c>
    </row>
    <row r="15" spans="1:5">
      <c r="A15" s="96" t="s">
        <v>772</v>
      </c>
      <c r="B15" s="127">
        <f>0.5*(B7^2)*B23*(B23-1)+0.5*(B8^2)*B24*(B24-1)+B9*B7*B8*B23*B24+B11*B23+B12*B24-B10</f>
        <v>-8.1707973720313021E-12</v>
      </c>
      <c r="D15" s="127">
        <f>0.5*(D7^2)*D23*(D23-1)+0.5*(D8^2)*D24*(D24-1)+D9*D7*D8*D23*D24+D11*D23+D12*D24-D10</f>
        <v>0</v>
      </c>
    </row>
    <row r="16" spans="1:5">
      <c r="A16" s="96" t="s">
        <v>773</v>
      </c>
      <c r="B16" s="127">
        <f>B25/(-B23*(B10-B11))-B6/(B24*(B10-B12))</f>
        <v>2.3839766072342172E-7</v>
      </c>
      <c r="D16" s="127">
        <f>D25/(-D23*(D10-D11))-D6/(D24*(D10-D12))</f>
        <v>-3.3303751933999592E-7</v>
      </c>
    </row>
    <row r="17" spans="1:7">
      <c r="A17" s="96" t="s">
        <v>806</v>
      </c>
      <c r="B17" s="127">
        <f>B18*B19+B20</f>
        <v>-9.2087759639980504E-10</v>
      </c>
      <c r="D17" s="127">
        <f>D18*D19+D20</f>
        <v>1.6436928262919537E-8</v>
      </c>
    </row>
    <row r="18" spans="1:7">
      <c r="A18" t="s">
        <v>812</v>
      </c>
      <c r="B18" s="193">
        <f>B6/(B24*(B10-B12))</f>
        <v>1241.8155935570585</v>
      </c>
      <c r="D18" s="193">
        <f>D6/(D24*(D10-D12))</f>
        <v>778.06165572525651</v>
      </c>
    </row>
    <row r="19" spans="1:7">
      <c r="A19" t="s">
        <v>813</v>
      </c>
      <c r="B19" s="127">
        <f>1-B23-B24-((B3^B23)*(B4^B24)/(B6^(B23+B24)))*((-B23*(B10-B11)/(B24*(B10-B12)))^-B23)</f>
        <v>9.8422199604699667E-2</v>
      </c>
      <c r="D19" s="127">
        <f>1-D23-D24-((D3^D23)*(D4^D24)/(D6^(D23+D24)))*((-D23*(D10-D11)/(D24*(D10-D12)))^-D23)</f>
        <v>0.15708552315784269</v>
      </c>
    </row>
    <row r="20" spans="1:7">
      <c r="A20" s="35" t="s">
        <v>814</v>
      </c>
      <c r="B20" s="256">
        <f>-B3/(B10-B11)+B4/(B10-B12)+B5</f>
        <v>-122.22222222222229</v>
      </c>
      <c r="D20" s="256">
        <f>-D3/(D10-D11)+D4/(D10-D12)+D5</f>
        <v>-122.22222222222229</v>
      </c>
    </row>
    <row r="21" spans="1:7">
      <c r="A21" t="s">
        <v>774</v>
      </c>
      <c r="B21" s="1">
        <f t="array" ref="B21">SUM(ABS(B15:B17))</f>
        <v>2.3932670911719356E-7</v>
      </c>
      <c r="D21" s="1">
        <f t="array" ref="D21">SUM(ABS(D15:D17))</f>
        <v>3.4947444760291546E-7</v>
      </c>
    </row>
    <row r="22" spans="1:7">
      <c r="A22" s="35" t="s">
        <v>553</v>
      </c>
    </row>
    <row r="23" spans="1:7">
      <c r="A23" s="2" t="s">
        <v>562</v>
      </c>
      <c r="B23" s="1">
        <v>-0.51068394026778008</v>
      </c>
      <c r="D23" s="1">
        <v>-0.93352855031631199</v>
      </c>
      <c r="E23" s="127" t="s">
        <v>553</v>
      </c>
      <c r="F23" s="127" t="s">
        <v>553</v>
      </c>
    </row>
    <row r="24" spans="1:7">
      <c r="A24" s="2" t="s">
        <v>569</v>
      </c>
      <c r="B24" s="1">
        <v>0.80401350887881984</v>
      </c>
      <c r="D24" s="1">
        <v>1.283235724841844</v>
      </c>
      <c r="E24" s="127" t="s">
        <v>553</v>
      </c>
      <c r="F24" s="127" t="s">
        <v>553</v>
      </c>
    </row>
    <row r="25" spans="1:7">
      <c r="A25" s="35" t="s">
        <v>775</v>
      </c>
      <c r="B25" s="114">
        <v>57.0757752472893</v>
      </c>
      <c r="D25" s="114">
        <v>65.370849229350739</v>
      </c>
      <c r="E25" s="114" t="s">
        <v>553</v>
      </c>
      <c r="F25" s="114" t="s">
        <v>553</v>
      </c>
    </row>
    <row r="26" spans="1:7">
      <c r="A26" s="35" t="s">
        <v>778</v>
      </c>
      <c r="B26" s="252">
        <f t="shared" ref="B26:D26" si="0">B25-B6</f>
        <v>27.122679864601945</v>
      </c>
      <c r="D26" s="252">
        <f t="shared" si="0"/>
        <v>35.417753846663388</v>
      </c>
      <c r="E26" s="35"/>
    </row>
    <row r="27" spans="1:7">
      <c r="A27" s="35" t="s">
        <v>553</v>
      </c>
      <c r="B27" s="252"/>
      <c r="C27" s="252"/>
      <c r="E27" s="35"/>
    </row>
    <row r="28" spans="1:7">
      <c r="A28" s="96" t="s">
        <v>772</v>
      </c>
      <c r="B28" s="255" t="s">
        <v>817</v>
      </c>
      <c r="G28" s="35" t="s">
        <v>818</v>
      </c>
    </row>
    <row r="29" spans="1:7">
      <c r="A29" s="96" t="s">
        <v>773</v>
      </c>
      <c r="B29" s="127" t="s">
        <v>819</v>
      </c>
      <c r="G29" s="35" t="s">
        <v>820</v>
      </c>
    </row>
    <row r="30" spans="1:7">
      <c r="A30" s="96" t="s">
        <v>806</v>
      </c>
      <c r="B30" s="127" t="s">
        <v>821</v>
      </c>
      <c r="G30" s="35" t="s">
        <v>822</v>
      </c>
    </row>
    <row r="31" spans="1:7">
      <c r="A31" t="s">
        <v>812</v>
      </c>
      <c r="B31" s="193" t="s">
        <v>823</v>
      </c>
    </row>
    <row r="32" spans="1:7">
      <c r="A32" t="s">
        <v>813</v>
      </c>
      <c r="B32" s="255" t="s">
        <v>824</v>
      </c>
    </row>
    <row r="33" spans="1:7">
      <c r="A33" s="35" t="s">
        <v>814</v>
      </c>
      <c r="B33" s="256" t="s">
        <v>825</v>
      </c>
    </row>
    <row r="34" spans="1:7">
      <c r="A34" s="96" t="s">
        <v>50</v>
      </c>
      <c r="B34" s="127" t="s">
        <v>826</v>
      </c>
      <c r="C34" s="127" t="s">
        <v>553</v>
      </c>
    </row>
    <row r="35" spans="1:7">
      <c r="B35" s="18" t="s">
        <v>827</v>
      </c>
    </row>
    <row r="36" spans="1:7">
      <c r="A36" s="35" t="s">
        <v>59</v>
      </c>
      <c r="B36" s="4">
        <v>60</v>
      </c>
    </row>
    <row r="37" spans="1:7">
      <c r="A37" s="35" t="s">
        <v>238</v>
      </c>
      <c r="B37" s="4">
        <v>29.953095382687355</v>
      </c>
    </row>
    <row r="38" spans="1:7">
      <c r="A38" s="35" t="s">
        <v>798</v>
      </c>
      <c r="B38" s="4">
        <f>B36-B37</f>
        <v>30.046904617312645</v>
      </c>
    </row>
    <row r="39" spans="1:7">
      <c r="A39" s="35" t="s">
        <v>828</v>
      </c>
      <c r="B39" s="252">
        <f>B40+B41</f>
        <v>878.76015727171625</v>
      </c>
      <c r="G39" s="35" t="s">
        <v>1076</v>
      </c>
    </row>
    <row r="40" spans="1:7">
      <c r="A40" s="35" t="s">
        <v>104</v>
      </c>
      <c r="B40" s="252">
        <f>B43*(B36^B23)*(B37^B24)</f>
        <v>1210.5300033612946</v>
      </c>
      <c r="G40" s="35"/>
    </row>
    <row r="41" spans="1:7">
      <c r="A41" s="35" t="s">
        <v>129</v>
      </c>
      <c r="B41" s="252">
        <f>B36/(B10-B11)-B37/(B10-B12)</f>
        <v>-331.76984608957832</v>
      </c>
      <c r="G41" s="35"/>
    </row>
    <row r="42" spans="1:7">
      <c r="A42" s="35" t="s">
        <v>829</v>
      </c>
      <c r="B42" s="252">
        <f>(B25/(B23*(B10-B11)))*(B23+B24-1)</f>
        <v>877.55436137297283</v>
      </c>
      <c r="G42" s="35" t="s">
        <v>830</v>
      </c>
    </row>
    <row r="43" spans="1:7">
      <c r="A43" s="35" t="s">
        <v>609</v>
      </c>
      <c r="B43" s="252">
        <f>(-B25/(B23*(B10-B11)))*(1/((B25^B23)*(B6^B24)))</f>
        <v>636.75119031507165</v>
      </c>
      <c r="G43" s="35" t="s">
        <v>1068</v>
      </c>
    </row>
    <row r="45" spans="1:7">
      <c r="A45" s="35" t="s">
        <v>828</v>
      </c>
      <c r="B45" s="252" t="s">
        <v>831</v>
      </c>
    </row>
    <row r="46" spans="1:7">
      <c r="A46" s="35" t="s">
        <v>104</v>
      </c>
      <c r="B46" s="252" t="s">
        <v>832</v>
      </c>
    </row>
    <row r="47" spans="1:7">
      <c r="A47" s="35" t="s">
        <v>129</v>
      </c>
      <c r="B47" s="252" t="s">
        <v>833</v>
      </c>
    </row>
    <row r="48" spans="1:7">
      <c r="A48" s="35" t="s">
        <v>829</v>
      </c>
      <c r="B48" s="252" t="s">
        <v>834</v>
      </c>
    </row>
    <row r="49" spans="1:2">
      <c r="A49" s="35" t="s">
        <v>609</v>
      </c>
      <c r="B49" s="252" t="s">
        <v>835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E15" sqref="E15"/>
    </sheetView>
  </sheetViews>
  <sheetFormatPr defaultRowHeight="12.75"/>
  <cols>
    <col min="1" max="1" width="11.28515625" bestFit="1" customWidth="1"/>
    <col min="2" max="2" width="15.7109375" customWidth="1"/>
    <col min="3" max="3" width="10.7109375" customWidth="1"/>
  </cols>
  <sheetData>
    <row r="1" spans="1:5" ht="15.75">
      <c r="B1" s="33"/>
      <c r="C1" s="33" t="s">
        <v>802</v>
      </c>
    </row>
    <row r="2" spans="1:5">
      <c r="A2" t="s">
        <v>583</v>
      </c>
      <c r="B2" s="250" t="s">
        <v>803</v>
      </c>
      <c r="E2" s="250" t="s">
        <v>804</v>
      </c>
    </row>
    <row r="3" spans="1:5" ht="15.75">
      <c r="A3" s="35" t="s">
        <v>545</v>
      </c>
      <c r="B3" s="4">
        <v>80</v>
      </c>
      <c r="C3" s="35" t="s">
        <v>553</v>
      </c>
      <c r="D3" s="35" t="s">
        <v>553</v>
      </c>
      <c r="E3" s="4">
        <v>80</v>
      </c>
    </row>
    <row r="4" spans="1:5" ht="15.75">
      <c r="A4" s="35" t="s">
        <v>766</v>
      </c>
      <c r="B4" s="4">
        <v>20</v>
      </c>
      <c r="D4" s="35" t="s">
        <v>553</v>
      </c>
      <c r="E4" s="4">
        <v>20</v>
      </c>
    </row>
    <row r="5" spans="1:5">
      <c r="A5" t="s">
        <v>35</v>
      </c>
      <c r="B5" s="4">
        <v>100</v>
      </c>
      <c r="D5" s="35" t="s">
        <v>553</v>
      </c>
      <c r="E5" s="4">
        <v>100</v>
      </c>
    </row>
    <row r="6" spans="1:5">
      <c r="A6" t="s">
        <v>767</v>
      </c>
      <c r="B6" s="4">
        <v>20</v>
      </c>
      <c r="D6" s="35" t="s">
        <v>553</v>
      </c>
      <c r="E6" s="4">
        <v>20</v>
      </c>
    </row>
    <row r="7" spans="1:5" ht="14.25">
      <c r="A7" s="2" t="s">
        <v>768</v>
      </c>
      <c r="B7" s="4">
        <v>0.3</v>
      </c>
      <c r="D7" s="2" t="s">
        <v>553</v>
      </c>
      <c r="E7" s="112">
        <v>0.3</v>
      </c>
    </row>
    <row r="8" spans="1:5" ht="14.25">
      <c r="A8" s="2" t="s">
        <v>769</v>
      </c>
      <c r="B8" s="4">
        <v>0</v>
      </c>
      <c r="D8" s="2" t="s">
        <v>553</v>
      </c>
      <c r="E8" s="112">
        <v>0</v>
      </c>
    </row>
    <row r="9" spans="1:5">
      <c r="A9" s="2" t="s">
        <v>2</v>
      </c>
      <c r="B9" s="193">
        <v>0</v>
      </c>
      <c r="D9" s="2" t="s">
        <v>553</v>
      </c>
      <c r="E9" s="4">
        <v>0</v>
      </c>
    </row>
    <row r="10" spans="1:5">
      <c r="A10" s="251" t="s">
        <v>2</v>
      </c>
      <c r="B10" s="4">
        <v>7.0000000000000007E-2</v>
      </c>
      <c r="D10" s="251" t="s">
        <v>553</v>
      </c>
      <c r="E10" s="4">
        <v>7.0000000000000007E-2</v>
      </c>
    </row>
    <row r="11" spans="1:5" ht="14.25">
      <c r="A11" s="2" t="s">
        <v>770</v>
      </c>
      <c r="B11" s="4">
        <v>-0.02</v>
      </c>
      <c r="D11" s="2" t="s">
        <v>553</v>
      </c>
      <c r="E11" s="4">
        <v>-0.02</v>
      </c>
    </row>
    <row r="12" spans="1:5" ht="14.25">
      <c r="A12" s="2" t="s">
        <v>771</v>
      </c>
      <c r="B12" s="193">
        <v>0</v>
      </c>
      <c r="D12" s="2" t="s">
        <v>771</v>
      </c>
      <c r="E12" s="112">
        <v>0</v>
      </c>
    </row>
    <row r="13" spans="1:5">
      <c r="A13" s="2"/>
      <c r="B13" s="4"/>
      <c r="D13" s="2"/>
      <c r="E13" s="4"/>
    </row>
    <row r="14" spans="1:5">
      <c r="A14" s="96" t="s">
        <v>605</v>
      </c>
      <c r="B14" s="2" t="s">
        <v>553</v>
      </c>
      <c r="D14" s="96" t="s">
        <v>553</v>
      </c>
      <c r="E14" s="2" t="s">
        <v>553</v>
      </c>
    </row>
    <row r="15" spans="1:5">
      <c r="A15" s="96" t="s">
        <v>805</v>
      </c>
      <c r="B15" s="127">
        <f>(0.5-B11/(B7^2))-SQRT((0.5-B11/(B7^2))^2+2*B10/(B7^2))-B19</f>
        <v>0</v>
      </c>
      <c r="C15" s="35"/>
      <c r="D15" s="96" t="s">
        <v>772</v>
      </c>
      <c r="E15" s="127">
        <f>0.5*(E7^2)*E19*(E19-1)+0.5*(E8^2)*E21*(E21-1)+E9*E7*E8*E19*E21+E11*E19+E12*E21-E10</f>
        <v>0</v>
      </c>
    </row>
    <row r="16" spans="1:5">
      <c r="A16" s="96" t="s">
        <v>773</v>
      </c>
      <c r="B16" s="127">
        <f>(B20/(B19*(B10-B11)))*(B19-1+((B3/B20)^B19))-B3/(B10-B11)+B5</f>
        <v>-2.8283386654948117E-7</v>
      </c>
      <c r="C16" s="35" t="s">
        <v>553</v>
      </c>
      <c r="D16" s="96" t="s">
        <v>773</v>
      </c>
      <c r="E16" s="127">
        <f>E20/(-E19*(E10-E11))-E6/(E21*(E10-E12))</f>
        <v>-9.9999999747524271E-7</v>
      </c>
    </row>
    <row r="17" spans="1:6">
      <c r="A17" t="s">
        <v>774</v>
      </c>
      <c r="B17" s="1">
        <f t="array" ref="B17">SUM(ABS(B15:B16))</f>
        <v>2.8283386654948117E-7</v>
      </c>
      <c r="D17" s="96" t="s">
        <v>806</v>
      </c>
      <c r="E17" s="127">
        <f>E29*E30+E31</f>
        <v>-1.9736899048439227E-7</v>
      </c>
    </row>
    <row r="18" spans="1:6">
      <c r="A18" s="35" t="s">
        <v>553</v>
      </c>
      <c r="B18" s="127" t="s">
        <v>553</v>
      </c>
      <c r="D18" t="s">
        <v>774</v>
      </c>
      <c r="E18" s="1">
        <f t="array" ref="E18">SUM(ABS(E15:E17))</f>
        <v>1.197368987959635E-6</v>
      </c>
    </row>
    <row r="19" spans="1:6" ht="14.25">
      <c r="A19" s="2" t="s">
        <v>196</v>
      </c>
      <c r="B19" s="1">
        <v>-0.71901353011920521</v>
      </c>
      <c r="D19" s="2" t="s">
        <v>562</v>
      </c>
      <c r="E19" s="1">
        <v>-0.71901353011920521</v>
      </c>
    </row>
    <row r="20" spans="1:6">
      <c r="A20" s="35" t="s">
        <v>775</v>
      </c>
      <c r="B20" s="114">
        <v>51.589271492724123</v>
      </c>
      <c r="C20" s="35" t="s">
        <v>553</v>
      </c>
      <c r="D20" s="35" t="s">
        <v>775</v>
      </c>
      <c r="E20" s="114">
        <v>51.589271439905303</v>
      </c>
    </row>
    <row r="21" spans="1:6">
      <c r="A21" s="2" t="s">
        <v>569</v>
      </c>
      <c r="B21" s="1">
        <v>0</v>
      </c>
      <c r="C21" s="35"/>
      <c r="D21" s="2" t="s">
        <v>569</v>
      </c>
      <c r="E21" s="1">
        <v>0.35838690500345444</v>
      </c>
    </row>
    <row r="22" spans="1:6">
      <c r="A22" s="96" t="s">
        <v>778</v>
      </c>
      <c r="B22" s="3">
        <f>B20-B6</f>
        <v>31.589271492724123</v>
      </c>
      <c r="C22" s="35"/>
      <c r="D22" s="35" t="s">
        <v>778</v>
      </c>
      <c r="E22" s="252">
        <f>E20-E6</f>
        <v>31.589271439905303</v>
      </c>
    </row>
    <row r="23" spans="1:6">
      <c r="A23" t="str">
        <f>B2</f>
        <v>Stochastic P</v>
      </c>
      <c r="C23" s="35"/>
    </row>
    <row r="24" spans="1:6">
      <c r="A24" s="96" t="s">
        <v>805</v>
      </c>
      <c r="B24" s="254" t="s">
        <v>807</v>
      </c>
      <c r="F24" s="35" t="s">
        <v>808</v>
      </c>
    </row>
    <row r="25" spans="1:6">
      <c r="A25" s="96" t="s">
        <v>773</v>
      </c>
      <c r="B25" s="255" t="s">
        <v>809</v>
      </c>
      <c r="F25" s="35" t="s">
        <v>810</v>
      </c>
    </row>
    <row r="26" spans="1:6">
      <c r="A26" s="35" t="s">
        <v>553</v>
      </c>
    </row>
    <row r="27" spans="1:6">
      <c r="A27" s="96" t="s">
        <v>50</v>
      </c>
      <c r="B27" t="s">
        <v>811</v>
      </c>
    </row>
    <row r="29" spans="1:6">
      <c r="D29" t="s">
        <v>812</v>
      </c>
      <c r="E29" s="193">
        <f>E6/(E21*(E10-E12))</f>
        <v>797.22300598994184</v>
      </c>
    </row>
    <row r="30" spans="1:6">
      <c r="D30" t="s">
        <v>813</v>
      </c>
      <c r="E30" s="127">
        <f>1-E19-E21-((E3^E19)*(E4^E21)/(E6^(E19+E21)))*((-E19*(E10-E11)/(E21*(E10-E12)))^-E19)</f>
        <v>0.63115916023073526</v>
      </c>
    </row>
    <row r="31" spans="1:6">
      <c r="D31" s="35" t="s">
        <v>814</v>
      </c>
      <c r="E31" s="256">
        <f>-E3/(E10-E11)+E4/(E10-E12)+E5</f>
        <v>-503.17460317460313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C27"/>
  <sheetViews>
    <sheetView workbookViewId="0">
      <selection sqref="A1:F27"/>
    </sheetView>
  </sheetViews>
  <sheetFormatPr defaultRowHeight="12.75"/>
  <cols>
    <col min="1" max="1" width="11.28515625" bestFit="1" customWidth="1"/>
    <col min="2" max="2" width="15.7109375" customWidth="1"/>
    <col min="3" max="3" width="10.7109375" customWidth="1"/>
  </cols>
  <sheetData>
    <row r="1" spans="1:3" ht="15.75">
      <c r="B1" s="33"/>
      <c r="C1" s="33" t="s">
        <v>802</v>
      </c>
    </row>
    <row r="2" spans="1:3">
      <c r="A2" s="35" t="s">
        <v>1027</v>
      </c>
      <c r="B2" s="250" t="s">
        <v>1028</v>
      </c>
    </row>
    <row r="3" spans="1:3" ht="15.75">
      <c r="A3" s="35" t="s">
        <v>545</v>
      </c>
      <c r="B3" s="4">
        <v>80</v>
      </c>
      <c r="C3" s="35" t="s">
        <v>553</v>
      </c>
    </row>
    <row r="4" spans="1:3" ht="15.75">
      <c r="A4" s="35" t="s">
        <v>766</v>
      </c>
      <c r="B4" s="4">
        <v>20</v>
      </c>
    </row>
    <row r="5" spans="1:3">
      <c r="A5" t="s">
        <v>35</v>
      </c>
      <c r="B5" s="4">
        <v>100</v>
      </c>
    </row>
    <row r="6" spans="1:3">
      <c r="A6" t="s">
        <v>767</v>
      </c>
      <c r="B6" s="4">
        <f>B20</f>
        <v>48.35327108965334</v>
      </c>
    </row>
    <row r="7" spans="1:3" ht="14.25">
      <c r="A7" s="2" t="s">
        <v>768</v>
      </c>
      <c r="B7" s="4">
        <v>0</v>
      </c>
    </row>
    <row r="8" spans="1:3" ht="14.25">
      <c r="A8" s="2" t="s">
        <v>769</v>
      </c>
      <c r="B8" s="4">
        <v>0.3</v>
      </c>
    </row>
    <row r="9" spans="1:3">
      <c r="A9" s="2" t="s">
        <v>2</v>
      </c>
      <c r="B9" s="193">
        <v>0</v>
      </c>
    </row>
    <row r="10" spans="1:3">
      <c r="A10" s="251" t="s">
        <v>2</v>
      </c>
      <c r="B10" s="4">
        <v>7.0000000000000007E-2</v>
      </c>
    </row>
    <row r="11" spans="1:3" ht="14.25">
      <c r="A11" s="2" t="s">
        <v>770</v>
      </c>
      <c r="B11" s="4">
        <v>0</v>
      </c>
    </row>
    <row r="12" spans="1:3" ht="14.25">
      <c r="A12" s="2" t="s">
        <v>771</v>
      </c>
      <c r="B12" s="193">
        <v>0.04</v>
      </c>
    </row>
    <row r="13" spans="1:3">
      <c r="A13" s="2"/>
      <c r="B13" s="4"/>
    </row>
    <row r="14" spans="1:3">
      <c r="A14" s="96" t="s">
        <v>605</v>
      </c>
      <c r="B14" s="2" t="s">
        <v>553</v>
      </c>
    </row>
    <row r="15" spans="1:3">
      <c r="A15" s="96" t="s">
        <v>1029</v>
      </c>
      <c r="B15" s="127">
        <f>(0.5-B12/(B8^2))+SQRT((0.5-B12/(B8^2))^2+2*B10/(B8^2))-B21</f>
        <v>0</v>
      </c>
      <c r="C15" s="35" t="s">
        <v>553</v>
      </c>
    </row>
    <row r="16" spans="1:3">
      <c r="A16" s="96" t="s">
        <v>773</v>
      </c>
      <c r="B16" s="127">
        <f>(B20/(B21*(B10-B12)))*(B21-1+((B4/B20)^B21))-B4/(B10-B12)-B5</f>
        <v>2.6931729735224508E-8</v>
      </c>
      <c r="C16" s="35" t="s">
        <v>553</v>
      </c>
    </row>
    <row r="17" spans="1:3">
      <c r="A17" t="s">
        <v>774</v>
      </c>
      <c r="B17" s="1">
        <f t="array" ref="B17">SUM(ABS(B15:B16))</f>
        <v>2.6931729735224508E-8</v>
      </c>
    </row>
    <row r="18" spans="1:3">
      <c r="A18" s="35" t="s">
        <v>553</v>
      </c>
      <c r="B18" s="127" t="s">
        <v>553</v>
      </c>
    </row>
    <row r="19" spans="1:3">
      <c r="A19" s="2" t="s">
        <v>562</v>
      </c>
      <c r="B19" s="1">
        <v>0</v>
      </c>
    </row>
    <row r="20" spans="1:3">
      <c r="A20" s="35" t="s">
        <v>767</v>
      </c>
      <c r="B20" s="252">
        <v>48.35327108965334</v>
      </c>
      <c r="C20" s="35" t="s">
        <v>553</v>
      </c>
    </row>
    <row r="21" spans="1:3">
      <c r="A21" s="2" t="s">
        <v>569</v>
      </c>
      <c r="B21" s="1">
        <v>1.3040113919024574</v>
      </c>
      <c r="C21" s="35"/>
    </row>
    <row r="22" spans="1:3">
      <c r="A22" s="96" t="s">
        <v>778</v>
      </c>
      <c r="B22" s="4">
        <f>B3-B6</f>
        <v>31.64672891034666</v>
      </c>
      <c r="C22" s="35"/>
    </row>
    <row r="23" spans="1:3">
      <c r="A23" t="str">
        <f>B2</f>
        <v>Stochastic C</v>
      </c>
      <c r="C23" s="35"/>
    </row>
    <row r="24" spans="1:3">
      <c r="A24" s="96" t="s">
        <v>1029</v>
      </c>
      <c r="B24" s="127" t="s">
        <v>1030</v>
      </c>
    </row>
    <row r="25" spans="1:3">
      <c r="A25" s="96" t="s">
        <v>773</v>
      </c>
      <c r="B25" s="127" t="s">
        <v>1031</v>
      </c>
    </row>
    <row r="26" spans="1:3">
      <c r="A26" s="35" t="s">
        <v>553</v>
      </c>
    </row>
    <row r="27" spans="1:3">
      <c r="A27" s="96" t="s">
        <v>50</v>
      </c>
      <c r="B27" t="s">
        <v>1032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sqref="A1:F27"/>
    </sheetView>
  </sheetViews>
  <sheetFormatPr defaultRowHeight="12.75"/>
  <cols>
    <col min="2" max="2" width="16" customWidth="1"/>
    <col min="5" max="5" width="11.7109375" customWidth="1"/>
  </cols>
  <sheetData>
    <row r="1" spans="1:6" ht="15.75">
      <c r="A1" s="33" t="s">
        <v>1077</v>
      </c>
      <c r="B1" s="33"/>
      <c r="C1" s="33"/>
    </row>
    <row r="2" spans="1:6">
      <c r="A2" t="s">
        <v>583</v>
      </c>
      <c r="B2" s="250" t="s">
        <v>804</v>
      </c>
    </row>
    <row r="3" spans="1:6" ht="15.75">
      <c r="A3" s="35" t="s">
        <v>545</v>
      </c>
      <c r="B3" s="4">
        <v>80</v>
      </c>
      <c r="D3" s="35" t="s">
        <v>553</v>
      </c>
    </row>
    <row r="4" spans="1:6" ht="15.75">
      <c r="A4" s="35" t="s">
        <v>766</v>
      </c>
      <c r="B4" s="4">
        <v>20</v>
      </c>
    </row>
    <row r="5" spans="1:6">
      <c r="A5" t="s">
        <v>35</v>
      </c>
      <c r="B5" s="4">
        <v>100</v>
      </c>
    </row>
    <row r="6" spans="1:6">
      <c r="A6" t="s">
        <v>767</v>
      </c>
      <c r="B6" s="4">
        <v>29.953095382687355</v>
      </c>
    </row>
    <row r="7" spans="1:6" ht="14.25">
      <c r="A7" s="2" t="s">
        <v>768</v>
      </c>
      <c r="B7" s="112">
        <v>0.3</v>
      </c>
      <c r="C7" s="18"/>
    </row>
    <row r="8" spans="1:6" ht="14.25">
      <c r="A8" s="2" t="s">
        <v>769</v>
      </c>
      <c r="B8" s="112">
        <v>0.3</v>
      </c>
      <c r="C8" s="18"/>
    </row>
    <row r="9" spans="1:6">
      <c r="A9" s="2" t="s">
        <v>2</v>
      </c>
      <c r="B9" s="4">
        <v>0</v>
      </c>
    </row>
    <row r="10" spans="1:6">
      <c r="A10" s="251" t="s">
        <v>2</v>
      </c>
      <c r="B10" s="4">
        <v>7.0000000000000007E-2</v>
      </c>
    </row>
    <row r="11" spans="1:6" ht="14.25">
      <c r="A11" s="2" t="s">
        <v>770</v>
      </c>
      <c r="B11" s="4">
        <v>-0.02</v>
      </c>
    </row>
    <row r="12" spans="1:6" ht="14.25">
      <c r="A12" s="2" t="s">
        <v>771</v>
      </c>
      <c r="B12" s="4">
        <v>0.04</v>
      </c>
    </row>
    <row r="13" spans="1:6">
      <c r="A13" s="2"/>
      <c r="B13" s="4"/>
    </row>
    <row r="14" spans="1:6">
      <c r="A14" s="96" t="s">
        <v>605</v>
      </c>
      <c r="B14" s="2" t="s">
        <v>553</v>
      </c>
    </row>
    <row r="15" spans="1:6">
      <c r="A15" s="96" t="s">
        <v>772</v>
      </c>
      <c r="B15" s="127">
        <f>0.5*(B7^2)*B20*(B20-1)+0.5*(B8^2)*B21*(B21-1)+B9*B7*B8*B20*B21+B11*B20+B12*B21-B10</f>
        <v>-4.9404924595819466E-15</v>
      </c>
      <c r="F15" s="35" t="s">
        <v>818</v>
      </c>
    </row>
    <row r="16" spans="1:6">
      <c r="A16" s="96" t="s">
        <v>773</v>
      </c>
      <c r="B16" s="127">
        <f>B22/(-B20*(B10-B11))-B6/(B21*(B10-B12))</f>
        <v>-1.0729047517088475E-7</v>
      </c>
      <c r="F16" s="35" t="s">
        <v>947</v>
      </c>
    </row>
    <row r="17" spans="1:6">
      <c r="A17" s="96" t="s">
        <v>1078</v>
      </c>
      <c r="B17" s="127">
        <f>B6/(B21*(B10-B12))*(1-B20-B21)-(B3/(B10-B11))+(B4/(B10-B12))+B5</f>
        <v>-1.9895196601282805E-11</v>
      </c>
      <c r="F17" s="35" t="s">
        <v>946</v>
      </c>
    </row>
    <row r="18" spans="1:6">
      <c r="A18" t="s">
        <v>774</v>
      </c>
      <c r="B18" s="1">
        <f t="array" ref="B18">SUM(ABS(B15:B17))</f>
        <v>1.0731037530797849E-7</v>
      </c>
    </row>
    <row r="19" spans="1:6">
      <c r="A19" s="35" t="s">
        <v>553</v>
      </c>
    </row>
    <row r="20" spans="1:6">
      <c r="A20" s="2" t="s">
        <v>562</v>
      </c>
      <c r="B20" s="1">
        <v>-0.25401909781217669</v>
      </c>
      <c r="D20" s="127" t="s">
        <v>553</v>
      </c>
      <c r="E20" s="127" t="s">
        <v>553</v>
      </c>
    </row>
    <row r="21" spans="1:6">
      <c r="A21" s="2" t="s">
        <v>569</v>
      </c>
      <c r="B21" s="1">
        <v>1.1172522159240581</v>
      </c>
      <c r="D21" s="127" t="s">
        <v>553</v>
      </c>
      <c r="E21" s="127" t="s">
        <v>553</v>
      </c>
    </row>
    <row r="22" spans="1:6">
      <c r="A22" s="35" t="s">
        <v>775</v>
      </c>
      <c r="B22" s="114">
        <v>20.430458288021899</v>
      </c>
      <c r="D22" s="114" t="s">
        <v>553</v>
      </c>
      <c r="E22" s="114" t="s">
        <v>553</v>
      </c>
    </row>
    <row r="23" spans="1:6">
      <c r="A23" s="35" t="s">
        <v>778</v>
      </c>
      <c r="B23" s="252">
        <f>B22-B6</f>
        <v>-9.5226370946654555</v>
      </c>
      <c r="D23" s="35"/>
    </row>
    <row r="24" spans="1:6">
      <c r="A24" s="96" t="s">
        <v>50</v>
      </c>
      <c r="B24" s="127" t="s">
        <v>1080</v>
      </c>
      <c r="C24" s="252"/>
      <c r="D24" s="35"/>
    </row>
    <row r="25" spans="1:6">
      <c r="A25" s="96" t="s">
        <v>772</v>
      </c>
      <c r="B25" s="255" t="s">
        <v>817</v>
      </c>
    </row>
    <row r="26" spans="1:6">
      <c r="A26" s="96" t="s">
        <v>773</v>
      </c>
      <c r="B26" s="127" t="s">
        <v>819</v>
      </c>
    </row>
    <row r="27" spans="1:6">
      <c r="A27" s="96" t="s">
        <v>1078</v>
      </c>
      <c r="B27" s="323" t="s">
        <v>1079</v>
      </c>
    </row>
    <row r="28" spans="1:6">
      <c r="A28" s="35" t="s">
        <v>553</v>
      </c>
      <c r="B28" s="193" t="s">
        <v>553</v>
      </c>
    </row>
    <row r="29" spans="1:6">
      <c r="A29" s="35" t="s">
        <v>553</v>
      </c>
      <c r="B29" s="255" t="s">
        <v>553</v>
      </c>
    </row>
    <row r="30" spans="1:6">
      <c r="A30" s="35" t="s">
        <v>553</v>
      </c>
      <c r="B30" s="193" t="s">
        <v>553</v>
      </c>
    </row>
    <row r="31" spans="1:6">
      <c r="C31" s="127" t="s">
        <v>553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F27"/>
  <sheetViews>
    <sheetView workbookViewId="0"/>
  </sheetViews>
  <sheetFormatPr defaultRowHeight="12.75"/>
  <cols>
    <col min="2" max="2" width="16" customWidth="1"/>
    <col min="5" max="5" width="11.7109375" customWidth="1"/>
  </cols>
  <sheetData>
    <row r="1" spans="1:6" ht="15.75">
      <c r="A1" s="33" t="s">
        <v>1081</v>
      </c>
      <c r="B1" s="33"/>
      <c r="C1" s="33"/>
    </row>
    <row r="2" spans="1:6">
      <c r="A2" t="s">
        <v>583</v>
      </c>
      <c r="B2" s="250" t="s">
        <v>804</v>
      </c>
    </row>
    <row r="3" spans="1:6" ht="15.75">
      <c r="A3" s="35" t="s">
        <v>545</v>
      </c>
      <c r="B3" s="4">
        <v>80</v>
      </c>
      <c r="D3" s="35" t="s">
        <v>553</v>
      </c>
    </row>
    <row r="4" spans="1:6" ht="15.75">
      <c r="A4" s="35" t="s">
        <v>766</v>
      </c>
      <c r="B4" s="4">
        <v>20</v>
      </c>
    </row>
    <row r="5" spans="1:6">
      <c r="A5" t="s">
        <v>35</v>
      </c>
      <c r="B5" s="4">
        <v>100</v>
      </c>
    </row>
    <row r="6" spans="1:6">
      <c r="A6" t="s">
        <v>767</v>
      </c>
      <c r="B6" s="4">
        <v>29.953095382687355</v>
      </c>
    </row>
    <row r="7" spans="1:6" ht="14.25">
      <c r="A7" s="2" t="s">
        <v>768</v>
      </c>
      <c r="B7" s="112">
        <v>0.3</v>
      </c>
      <c r="C7" s="18"/>
    </row>
    <row r="8" spans="1:6" ht="14.25">
      <c r="A8" s="2" t="s">
        <v>769</v>
      </c>
      <c r="B8" s="112">
        <v>0.3</v>
      </c>
      <c r="C8" s="18"/>
    </row>
    <row r="9" spans="1:6">
      <c r="A9" s="2" t="s">
        <v>2</v>
      </c>
      <c r="B9" s="4">
        <v>0</v>
      </c>
    </row>
    <row r="10" spans="1:6">
      <c r="A10" s="251" t="s">
        <v>2</v>
      </c>
      <c r="B10" s="4">
        <v>7.0000000000000007E-2</v>
      </c>
    </row>
    <row r="11" spans="1:6" ht="14.25">
      <c r="A11" s="2" t="s">
        <v>770</v>
      </c>
      <c r="B11" s="4">
        <v>-0.02</v>
      </c>
    </row>
    <row r="12" spans="1:6" ht="14.25">
      <c r="A12" s="2" t="s">
        <v>771</v>
      </c>
      <c r="B12" s="4">
        <v>0.04</v>
      </c>
    </row>
    <row r="13" spans="1:6">
      <c r="A13" s="2"/>
      <c r="B13" s="4"/>
    </row>
    <row r="14" spans="1:6">
      <c r="A14" s="96" t="s">
        <v>605</v>
      </c>
      <c r="B14" s="2" t="s">
        <v>553</v>
      </c>
    </row>
    <row r="15" spans="1:6">
      <c r="A15" s="96" t="s">
        <v>772</v>
      </c>
      <c r="B15" s="127">
        <f>0.5*(B7^2)*B20*(B20-1)+0.5*(B8^2)*B21*(B21-1)+B9*B7*B8*B20*B21+B11*B20+B12*B21-B10</f>
        <v>0</v>
      </c>
      <c r="F15" s="35" t="s">
        <v>818</v>
      </c>
    </row>
    <row r="16" spans="1:6">
      <c r="A16" s="96" t="s">
        <v>773</v>
      </c>
      <c r="B16" s="127">
        <f>B22/(-B20*(B10-B11))-B6/(B21*(B10-B12))</f>
        <v>-1.5501791494898498E-7</v>
      </c>
      <c r="F16" s="35" t="s">
        <v>1082</v>
      </c>
    </row>
    <row r="17" spans="1:6">
      <c r="A17" s="96" t="s">
        <v>1083</v>
      </c>
      <c r="B17" s="127">
        <f>B20+B21-1</f>
        <v>0</v>
      </c>
      <c r="F17" s="35" t="s">
        <v>911</v>
      </c>
    </row>
    <row r="18" spans="1:6">
      <c r="A18" t="s">
        <v>774</v>
      </c>
      <c r="B18" s="1">
        <f t="array" ref="B18">SUM(ABS(B15:B17))</f>
        <v>1.5501791494898498E-7</v>
      </c>
    </row>
    <row r="19" spans="1:6">
      <c r="A19" s="35" t="s">
        <v>553</v>
      </c>
    </row>
    <row r="20" spans="1:6">
      <c r="A20" s="2" t="s">
        <v>562</v>
      </c>
      <c r="B20" s="1">
        <v>-0.18046042171636961</v>
      </c>
      <c r="D20" s="127" t="s">
        <v>553</v>
      </c>
      <c r="E20" s="127" t="s">
        <v>553</v>
      </c>
    </row>
    <row r="21" spans="1:6">
      <c r="A21" s="2" t="s">
        <v>569</v>
      </c>
      <c r="B21" s="1">
        <v>1.1804604217163703</v>
      </c>
      <c r="D21" s="127" t="s">
        <v>553</v>
      </c>
      <c r="E21" s="127" t="s">
        <v>553</v>
      </c>
    </row>
    <row r="22" spans="1:6">
      <c r="A22" s="35" t="s">
        <v>775</v>
      </c>
      <c r="B22" s="114">
        <v>13.737050706758373</v>
      </c>
      <c r="D22" s="114" t="s">
        <v>553</v>
      </c>
      <c r="E22" s="114" t="s">
        <v>553</v>
      </c>
    </row>
    <row r="23" spans="1:6">
      <c r="A23" s="35" t="s">
        <v>778</v>
      </c>
      <c r="B23" s="252">
        <f>B22-B6</f>
        <v>-16.216044675928984</v>
      </c>
      <c r="D23" s="35"/>
    </row>
    <row r="24" spans="1:6">
      <c r="A24" s="96" t="s">
        <v>50</v>
      </c>
      <c r="B24" s="127" t="s">
        <v>1080</v>
      </c>
      <c r="C24" s="252"/>
      <c r="D24" s="35"/>
    </row>
    <row r="25" spans="1:6">
      <c r="A25" s="96" t="s">
        <v>772</v>
      </c>
      <c r="B25" s="255" t="s">
        <v>817</v>
      </c>
    </row>
    <row r="26" spans="1:6">
      <c r="A26" s="96" t="s">
        <v>773</v>
      </c>
      <c r="B26" s="127" t="s">
        <v>819</v>
      </c>
    </row>
    <row r="27" spans="1:6">
      <c r="A27" s="96" t="s">
        <v>553</v>
      </c>
      <c r="B27" s="323" t="s">
        <v>553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sqref="A1:I38"/>
    </sheetView>
  </sheetViews>
  <sheetFormatPr defaultRowHeight="12.75"/>
  <cols>
    <col min="1" max="1" width="13.42578125" bestFit="1" customWidth="1"/>
    <col min="2" max="2" width="16" customWidth="1"/>
    <col min="5" max="5" width="13.7109375" bestFit="1" customWidth="1"/>
    <col min="8" max="8" width="13.7109375" bestFit="1" customWidth="1"/>
  </cols>
  <sheetData>
    <row r="1" spans="1:4" ht="15.75">
      <c r="A1" s="33" t="s">
        <v>1033</v>
      </c>
      <c r="B1" s="33"/>
      <c r="C1" s="33"/>
      <c r="D1" s="33"/>
    </row>
    <row r="2" spans="1:4">
      <c r="A2" s="233" t="s">
        <v>583</v>
      </c>
      <c r="B2" s="235" t="s">
        <v>553</v>
      </c>
      <c r="C2" s="314"/>
      <c r="D2" s="35" t="s">
        <v>553</v>
      </c>
    </row>
    <row r="3" spans="1:4" ht="15.75">
      <c r="A3" s="303" t="s">
        <v>545</v>
      </c>
      <c r="B3" s="14">
        <f>[11]DETERMINSTIC!B3</f>
        <v>80</v>
      </c>
      <c r="C3" s="44"/>
      <c r="D3" s="35" t="s">
        <v>1051</v>
      </c>
    </row>
    <row r="4" spans="1:4" ht="15.75">
      <c r="A4" s="303" t="s">
        <v>1034</v>
      </c>
      <c r="B4" s="194">
        <f>B33</f>
        <v>15</v>
      </c>
      <c r="C4" s="44"/>
      <c r="D4" s="35" t="s">
        <v>1052</v>
      </c>
    </row>
    <row r="5" spans="1:4">
      <c r="A5" s="43" t="s">
        <v>35</v>
      </c>
      <c r="B5" s="14">
        <f>[11]DETERMINSTIC!B5</f>
        <v>100</v>
      </c>
      <c r="C5" s="44"/>
    </row>
    <row r="6" spans="1:4">
      <c r="A6" s="43" t="s">
        <v>767</v>
      </c>
      <c r="B6" s="307">
        <v>29.95</v>
      </c>
      <c r="C6" s="44"/>
    </row>
    <row r="7" spans="1:4" ht="14.25">
      <c r="A7" s="162" t="s">
        <v>768</v>
      </c>
      <c r="B7" s="14">
        <v>0.3</v>
      </c>
      <c r="C7" s="44"/>
    </row>
    <row r="8" spans="1:4" ht="14.25">
      <c r="A8" s="162" t="s">
        <v>769</v>
      </c>
      <c r="B8" s="14">
        <v>0.3</v>
      </c>
      <c r="C8" s="44"/>
    </row>
    <row r="9" spans="1:4">
      <c r="A9" s="162" t="s">
        <v>2</v>
      </c>
      <c r="B9" s="14">
        <v>0</v>
      </c>
      <c r="C9" s="44"/>
    </row>
    <row r="10" spans="1:4">
      <c r="A10" s="304" t="s">
        <v>2</v>
      </c>
      <c r="B10" s="47">
        <v>7.0000000000000007E-2</v>
      </c>
      <c r="C10" s="44"/>
    </row>
    <row r="11" spans="1:4" ht="14.25">
      <c r="A11" s="162" t="s">
        <v>770</v>
      </c>
      <c r="B11" s="308">
        <v>-0.02</v>
      </c>
      <c r="C11" s="315" t="s">
        <v>553</v>
      </c>
    </row>
    <row r="12" spans="1:4" ht="14.25">
      <c r="A12" s="162" t="s">
        <v>771</v>
      </c>
      <c r="B12" s="308">
        <v>0.04</v>
      </c>
      <c r="C12" s="44"/>
    </row>
    <row r="13" spans="1:4" ht="14.25">
      <c r="A13" s="162" t="s">
        <v>1035</v>
      </c>
      <c r="B13" s="308">
        <v>-0.05</v>
      </c>
      <c r="C13" s="44"/>
    </row>
    <row r="14" spans="1:4">
      <c r="A14" s="303" t="s">
        <v>59</v>
      </c>
      <c r="B14" s="14">
        <v>75</v>
      </c>
      <c r="C14" s="44"/>
    </row>
    <row r="15" spans="1:4">
      <c r="A15" s="303" t="s">
        <v>238</v>
      </c>
      <c r="B15" s="14">
        <v>30</v>
      </c>
      <c r="C15" s="44"/>
    </row>
    <row r="16" spans="1:4" ht="15.75">
      <c r="A16" s="303" t="s">
        <v>1034</v>
      </c>
      <c r="B16" s="14">
        <v>15</v>
      </c>
      <c r="C16" s="44"/>
    </row>
    <row r="17" spans="1:8">
      <c r="A17" s="305" t="s">
        <v>772</v>
      </c>
      <c r="B17" s="309">
        <f>0.5*(B7^2)*B29*(B29-1)+0.5*(B8^2)*B30*(B30-1)+B9*B7*B8*B29*B30+B11*B29+B12*B30+B13*B31-B10</f>
        <v>-1.124100812432971E-13</v>
      </c>
      <c r="C17" s="316" t="s">
        <v>1046</v>
      </c>
      <c r="D17" s="319" t="s">
        <v>1053</v>
      </c>
    </row>
    <row r="18" spans="1:8">
      <c r="A18" s="305" t="s">
        <v>1036</v>
      </c>
      <c r="B18" s="309">
        <f>B32/(B29*(B10-B11))+B6/(B30*(B10-B12))</f>
        <v>1.3629005479742773E-8</v>
      </c>
      <c r="C18" s="316" t="s">
        <v>1047</v>
      </c>
      <c r="D18" s="309" t="s">
        <v>1054</v>
      </c>
    </row>
    <row r="19" spans="1:8">
      <c r="A19" s="305" t="s">
        <v>1037</v>
      </c>
      <c r="B19" s="309">
        <f>B25-B26*B27</f>
        <v>-4.8379263262177119E-8</v>
      </c>
      <c r="C19" s="316" t="s">
        <v>1048</v>
      </c>
      <c r="D19" s="309" t="s">
        <v>1055</v>
      </c>
      <c r="F19" s="35" t="s">
        <v>553</v>
      </c>
    </row>
    <row r="20" spans="1:8">
      <c r="A20" s="305" t="s">
        <v>1038</v>
      </c>
      <c r="B20" s="309">
        <f>B21*B22-B23</f>
        <v>-3.8000962376827374E-9</v>
      </c>
      <c r="C20" s="316" t="s">
        <v>1049</v>
      </c>
      <c r="D20" s="309" t="s">
        <v>1056</v>
      </c>
      <c r="H20" s="309" t="s">
        <v>553</v>
      </c>
    </row>
    <row r="21" spans="1:8">
      <c r="A21" s="303" t="s">
        <v>1039</v>
      </c>
      <c r="B21" s="310">
        <f>(B6/(B30*(B10-B12)))</f>
        <v>1261.5298064158103</v>
      </c>
      <c r="C21" s="316"/>
      <c r="D21" s="310" t="s">
        <v>1057</v>
      </c>
      <c r="H21" s="310" t="s">
        <v>553</v>
      </c>
    </row>
    <row r="22" spans="1:8">
      <c r="A22" s="43" t="s">
        <v>813</v>
      </c>
      <c r="B22" s="310">
        <f>(1-((B3^B29)/(B32^B29))*((B33^B30)/(B6^B30)))</f>
        <v>0.50887248462420642</v>
      </c>
      <c r="C22" s="316"/>
      <c r="D22" s="310" t="s">
        <v>1058</v>
      </c>
      <c r="H22" s="310" t="s">
        <v>553</v>
      </c>
    </row>
    <row r="23" spans="1:8">
      <c r="A23" s="303" t="s">
        <v>814</v>
      </c>
      <c r="B23" s="310">
        <f>((B3-B32)/(B10-B11)+(B6-B33)/(B10-B12)-B5)</f>
        <v>641.95780702210766</v>
      </c>
      <c r="C23" s="316"/>
      <c r="D23" s="310" t="s">
        <v>1059</v>
      </c>
      <c r="H23" s="310" t="s">
        <v>553</v>
      </c>
    </row>
    <row r="24" spans="1:8">
      <c r="A24" s="303" t="str">
        <f>A19</f>
        <v>VM2</v>
      </c>
      <c r="B24" s="311">
        <f>B19</f>
        <v>-4.8379263262177119E-8</v>
      </c>
      <c r="C24" s="316"/>
      <c r="D24" s="309" t="s">
        <v>1060</v>
      </c>
    </row>
    <row r="25" spans="1:8">
      <c r="A25" s="305" t="s">
        <v>1040</v>
      </c>
      <c r="B25" s="310">
        <f>(B6-B33)/(B10-B12)</f>
        <v>498.3333333333332</v>
      </c>
      <c r="C25" s="316"/>
      <c r="D25" s="310" t="s">
        <v>1061</v>
      </c>
    </row>
    <row r="26" spans="1:8">
      <c r="A26" s="43" t="s">
        <v>813</v>
      </c>
      <c r="B26" s="310">
        <f>((B30+B31)/(B30+B31-1))</f>
        <v>-3.4696964979768743</v>
      </c>
      <c r="C26" s="316"/>
      <c r="D26" s="310" t="s">
        <v>1062</v>
      </c>
    </row>
    <row r="27" spans="1:8">
      <c r="A27" s="303" t="s">
        <v>814</v>
      </c>
      <c r="B27" s="310">
        <f>(B5-((B3-B32)/(B10-B11)))</f>
        <v>-143.62447368877446</v>
      </c>
      <c r="C27" s="316"/>
      <c r="D27" s="310" t="s">
        <v>1063</v>
      </c>
    </row>
    <row r="28" spans="1:8">
      <c r="A28" s="303" t="s">
        <v>1041</v>
      </c>
      <c r="B28" s="156">
        <f t="array" ref="B28">SUM(ABS(B17:B20))</f>
        <v>6.5808477389683873E-8</v>
      </c>
      <c r="C28" s="317" t="s">
        <v>1050</v>
      </c>
      <c r="E28" s="35" t="s">
        <v>553</v>
      </c>
      <c r="H28" s="35" t="s">
        <v>553</v>
      </c>
    </row>
    <row r="29" spans="1:8" ht="14.25">
      <c r="A29" s="162" t="s">
        <v>1042</v>
      </c>
      <c r="B29" s="47">
        <v>-0.51149359446399101</v>
      </c>
      <c r="C29" s="318"/>
      <c r="D29" s="320" t="s">
        <v>553</v>
      </c>
      <c r="E29" s="245" t="s">
        <v>553</v>
      </c>
      <c r="F29" s="245"/>
      <c r="G29" s="245"/>
      <c r="H29" s="245" t="s">
        <v>553</v>
      </c>
    </row>
    <row r="30" spans="1:8" ht="14.25">
      <c r="A30" s="162" t="s">
        <v>1043</v>
      </c>
      <c r="B30" s="47">
        <v>0.79136721800473608</v>
      </c>
      <c r="C30" s="318"/>
      <c r="D30" s="320" t="s">
        <v>553</v>
      </c>
      <c r="E30" s="245" t="s">
        <v>553</v>
      </c>
      <c r="F30" s="245"/>
      <c r="G30" s="245"/>
      <c r="H30" s="245" t="s">
        <v>553</v>
      </c>
    </row>
    <row r="31" spans="1:8" ht="14.25">
      <c r="A31" s="306" t="s">
        <v>1044</v>
      </c>
      <c r="B31" s="47">
        <v>-1.5096055175812832E-2</v>
      </c>
      <c r="C31" s="318"/>
      <c r="D31" s="320" t="s">
        <v>553</v>
      </c>
      <c r="E31" s="245" t="s">
        <v>553</v>
      </c>
      <c r="F31" s="245"/>
      <c r="G31" s="245"/>
      <c r="H31" s="245" t="s">
        <v>553</v>
      </c>
    </row>
    <row r="32" spans="1:8">
      <c r="A32" s="303" t="s">
        <v>775</v>
      </c>
      <c r="B32" s="312">
        <v>58.073797368010297</v>
      </c>
      <c r="C32" s="318"/>
      <c r="D32" s="320" t="s">
        <v>553</v>
      </c>
      <c r="E32" s="245" t="s">
        <v>553</v>
      </c>
      <c r="F32" s="245"/>
      <c r="G32" s="245"/>
      <c r="H32" s="245" t="s">
        <v>553</v>
      </c>
    </row>
    <row r="33" spans="1:5">
      <c r="A33" s="162" t="s">
        <v>1045</v>
      </c>
      <c r="B33" s="312">
        <v>15</v>
      </c>
      <c r="C33" s="44"/>
      <c r="D33" s="317" t="s">
        <v>553</v>
      </c>
      <c r="E33" s="35" t="s">
        <v>553</v>
      </c>
    </row>
    <row r="34" spans="1:5">
      <c r="A34" s="303" t="s">
        <v>778</v>
      </c>
      <c r="B34" s="310">
        <f>B32-B6</f>
        <v>28.123797368010298</v>
      </c>
      <c r="C34" s="44"/>
    </row>
    <row r="35" spans="1:5">
      <c r="A35" s="303" t="s">
        <v>828</v>
      </c>
      <c r="B35" s="312">
        <f>IF(B14&gt;B32,B36,#REF!)</f>
        <v>941.62371711799187</v>
      </c>
      <c r="C35" s="44"/>
      <c r="D35" s="310" t="s">
        <v>1064</v>
      </c>
    </row>
    <row r="36" spans="1:5">
      <c r="A36" s="303" t="s">
        <v>828</v>
      </c>
      <c r="B36" s="310">
        <f>B37+B38</f>
        <v>941.62371711799187</v>
      </c>
      <c r="C36" s="316" t="s">
        <v>830</v>
      </c>
      <c r="D36" s="310" t="s">
        <v>1065</v>
      </c>
    </row>
    <row r="37" spans="1:5">
      <c r="A37" s="303" t="s">
        <v>104</v>
      </c>
      <c r="B37" s="313">
        <f>((B16/B33)^B31)*((B15/B6)^B30)*((B14/B32)^B29)*(B32/(-B29*(B10-B11)))</f>
        <v>1108.2903837846584</v>
      </c>
      <c r="C37" s="316" t="s">
        <v>946</v>
      </c>
      <c r="D37" s="321" t="s">
        <v>1066</v>
      </c>
    </row>
    <row r="38" spans="1:5">
      <c r="A38" s="303" t="s">
        <v>129</v>
      </c>
      <c r="B38" s="310">
        <f>(B14/(B10-B11))-B15/(B10-B12)</f>
        <v>-166.66666666666652</v>
      </c>
      <c r="C38" s="316"/>
      <c r="D38" s="310" t="s">
        <v>1067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F58"/>
  <sheetViews>
    <sheetView workbookViewId="0"/>
  </sheetViews>
  <sheetFormatPr defaultRowHeight="12.75"/>
  <cols>
    <col min="1" max="1" width="26.7109375" bestFit="1" customWidth="1"/>
    <col min="3" max="3" width="12.42578125" bestFit="1" customWidth="1"/>
  </cols>
  <sheetData>
    <row r="1" spans="1:6" ht="15.75">
      <c r="A1" s="258" t="s">
        <v>836</v>
      </c>
      <c r="B1" s="259"/>
      <c r="C1" s="260"/>
      <c r="D1" s="259"/>
      <c r="E1" s="259"/>
      <c r="F1" s="259"/>
    </row>
    <row r="2" spans="1:6" ht="13.5">
      <c r="A2" s="259"/>
      <c r="B2" s="259" t="s">
        <v>553</v>
      </c>
      <c r="C2" s="261" t="s">
        <v>553</v>
      </c>
      <c r="D2" s="259"/>
      <c r="E2" s="259"/>
      <c r="F2" s="259"/>
    </row>
    <row r="3" spans="1:6">
      <c r="A3" s="259" t="s">
        <v>1503</v>
      </c>
      <c r="B3" s="259" t="s">
        <v>491</v>
      </c>
      <c r="C3" s="262">
        <v>100</v>
      </c>
      <c r="D3" s="263" t="s">
        <v>553</v>
      </c>
      <c r="E3" s="259"/>
      <c r="F3" s="259"/>
    </row>
    <row r="4" spans="1:6">
      <c r="A4" s="259" t="s">
        <v>1504</v>
      </c>
      <c r="B4" s="259" t="s">
        <v>839</v>
      </c>
      <c r="C4" s="259">
        <v>100</v>
      </c>
      <c r="D4" s="263" t="s">
        <v>553</v>
      </c>
      <c r="E4" s="259"/>
      <c r="F4" s="259"/>
    </row>
    <row r="5" spans="1:6" ht="14.25">
      <c r="A5" s="259" t="s">
        <v>840</v>
      </c>
      <c r="B5" s="205" t="s">
        <v>841</v>
      </c>
      <c r="C5" s="205">
        <v>0.04</v>
      </c>
      <c r="D5" s="263"/>
      <c r="E5" s="259"/>
      <c r="F5" s="259"/>
    </row>
    <row r="6" spans="1:6" ht="14.25">
      <c r="A6" s="259" t="s">
        <v>842</v>
      </c>
      <c r="B6" s="205" t="s">
        <v>843</v>
      </c>
      <c r="C6" s="205">
        <v>0.04</v>
      </c>
      <c r="D6" s="264"/>
      <c r="E6" s="259"/>
      <c r="F6" s="259"/>
    </row>
    <row r="7" spans="1:6" ht="14.25">
      <c r="A7" s="259" t="s">
        <v>844</v>
      </c>
      <c r="B7" s="205" t="s">
        <v>845</v>
      </c>
      <c r="C7" s="265">
        <v>0.4</v>
      </c>
      <c r="D7" s="264"/>
      <c r="E7" s="259"/>
      <c r="F7" s="259"/>
    </row>
    <row r="8" spans="1:6" ht="14.25">
      <c r="A8" s="259" t="s">
        <v>846</v>
      </c>
      <c r="B8" s="205" t="s">
        <v>847</v>
      </c>
      <c r="C8" s="265">
        <v>0.3</v>
      </c>
      <c r="D8" s="264"/>
      <c r="E8" s="259"/>
      <c r="F8" s="259"/>
    </row>
    <row r="9" spans="1:6">
      <c r="A9" s="259" t="s">
        <v>848</v>
      </c>
      <c r="B9" s="205" t="s">
        <v>849</v>
      </c>
      <c r="C9" s="265">
        <v>0.5</v>
      </c>
      <c r="D9" s="264"/>
      <c r="E9" s="259"/>
      <c r="F9" s="259"/>
    </row>
    <row r="10" spans="1:6">
      <c r="A10" s="259" t="s">
        <v>850</v>
      </c>
      <c r="B10" s="205" t="s">
        <v>2</v>
      </c>
      <c r="C10" s="205">
        <v>0.05</v>
      </c>
      <c r="D10" s="264"/>
      <c r="E10" s="259"/>
      <c r="F10" s="259"/>
    </row>
    <row r="11" spans="1:6" ht="14.25">
      <c r="A11" s="259" t="s">
        <v>851</v>
      </c>
      <c r="B11" s="205" t="s">
        <v>852</v>
      </c>
      <c r="C11" s="266">
        <v>50</v>
      </c>
      <c r="D11" s="264"/>
      <c r="E11" s="259"/>
      <c r="F11" s="259"/>
    </row>
    <row r="12" spans="1:6" ht="14.25">
      <c r="A12" s="259" t="s">
        <v>853</v>
      </c>
      <c r="B12" s="205" t="s">
        <v>854</v>
      </c>
      <c r="C12" s="266">
        <v>50</v>
      </c>
      <c r="D12" s="264"/>
      <c r="E12" s="259"/>
      <c r="F12" s="259"/>
    </row>
    <row r="13" spans="1:6">
      <c r="A13" s="259" t="s">
        <v>553</v>
      </c>
      <c r="B13" s="205" t="s">
        <v>553</v>
      </c>
      <c r="C13" s="264" t="s">
        <v>553</v>
      </c>
      <c r="D13" s="264"/>
      <c r="E13" s="259"/>
      <c r="F13" s="259"/>
    </row>
    <row r="14" spans="1:6">
      <c r="A14" s="259" t="s">
        <v>553</v>
      </c>
      <c r="B14" s="205" t="s">
        <v>553</v>
      </c>
      <c r="C14" s="264" t="s">
        <v>553</v>
      </c>
      <c r="D14" s="264"/>
      <c r="E14" s="259"/>
      <c r="F14" s="259"/>
    </row>
    <row r="15" spans="1:6" ht="14.25">
      <c r="A15" s="259" t="s">
        <v>855</v>
      </c>
      <c r="B15" s="205" t="s">
        <v>856</v>
      </c>
      <c r="C15" s="264">
        <v>50</v>
      </c>
      <c r="D15" s="264"/>
      <c r="E15" s="259"/>
      <c r="F15" s="259"/>
    </row>
    <row r="16" spans="1:6" ht="14.25">
      <c r="A16" s="259" t="s">
        <v>857</v>
      </c>
      <c r="B16" s="205" t="s">
        <v>858</v>
      </c>
      <c r="C16" s="264">
        <v>70</v>
      </c>
      <c r="D16" s="264"/>
      <c r="E16" s="259"/>
      <c r="F16" s="259"/>
    </row>
    <row r="17" spans="1:6">
      <c r="A17" s="259" t="s">
        <v>859</v>
      </c>
      <c r="B17" s="259" t="s">
        <v>114</v>
      </c>
      <c r="C17" s="267">
        <f>(C3/C5-C11/C10)</f>
        <v>1500</v>
      </c>
      <c r="D17" s="264" t="s">
        <v>553</v>
      </c>
      <c r="E17" s="259"/>
      <c r="F17" s="259"/>
    </row>
    <row r="18" spans="1:6">
      <c r="A18" s="259" t="s">
        <v>861</v>
      </c>
      <c r="B18" s="259" t="s">
        <v>862</v>
      </c>
      <c r="C18" s="267">
        <f>(C4/C6-C12/C10)</f>
        <v>1500</v>
      </c>
      <c r="D18" s="264" t="s">
        <v>553</v>
      </c>
      <c r="E18" s="259"/>
      <c r="F18" s="259"/>
    </row>
    <row r="19" spans="1:6" ht="14.25">
      <c r="A19" s="259" t="s">
        <v>875</v>
      </c>
      <c r="B19" s="205" t="s">
        <v>865</v>
      </c>
      <c r="C19" s="268">
        <f>C3</f>
        <v>100</v>
      </c>
      <c r="D19" s="264"/>
      <c r="E19" s="259"/>
      <c r="F19" s="259"/>
    </row>
    <row r="20" spans="1:6" ht="14.25">
      <c r="A20" s="259" t="s">
        <v>1471</v>
      </c>
      <c r="B20" s="205" t="s">
        <v>867</v>
      </c>
      <c r="C20" s="268">
        <f>C3</f>
        <v>100</v>
      </c>
      <c r="D20" s="264"/>
      <c r="E20" s="259"/>
      <c r="F20" s="259"/>
    </row>
    <row r="21" spans="1:6">
      <c r="A21" s="259"/>
      <c r="B21" s="259" t="s">
        <v>868</v>
      </c>
      <c r="C21" s="259"/>
      <c r="D21" s="259" t="s">
        <v>869</v>
      </c>
      <c r="E21" s="259"/>
      <c r="F21" s="259"/>
    </row>
    <row r="22" spans="1:6" ht="14.25">
      <c r="A22" s="259" t="s">
        <v>870</v>
      </c>
      <c r="B22" s="269" t="s">
        <v>871</v>
      </c>
      <c r="C22" s="270">
        <f>C3/C5-C11/C10+C24*C3^C28*C4^C29</f>
        <v>2780.367890946628</v>
      </c>
      <c r="D22" s="271">
        <f>C22-C17</f>
        <v>1280.367890946628</v>
      </c>
      <c r="E22" s="259"/>
      <c r="F22" s="259"/>
    </row>
    <row r="23" spans="1:6" ht="14.25">
      <c r="A23" s="259" t="s">
        <v>872</v>
      </c>
      <c r="B23" s="269" t="s">
        <v>873</v>
      </c>
      <c r="C23" s="270">
        <f>C4/C6-C12/C10+C25*C3^C30*C4^C31</f>
        <v>2781.7606059830955</v>
      </c>
      <c r="D23" s="271">
        <f>C23-C18</f>
        <v>1281.7606059830955</v>
      </c>
      <c r="E23" s="259"/>
      <c r="F23" s="259"/>
    </row>
    <row r="24" spans="1:6">
      <c r="A24" s="259"/>
      <c r="B24" s="272" t="s">
        <v>609</v>
      </c>
      <c r="C24" s="273">
        <v>10.170394198927095</v>
      </c>
      <c r="D24" s="274"/>
      <c r="E24" s="259"/>
      <c r="F24" s="259"/>
    </row>
    <row r="25" spans="1:6">
      <c r="A25" s="259"/>
      <c r="B25" s="272" t="s">
        <v>874</v>
      </c>
      <c r="C25" s="273">
        <v>9.7552697233930274</v>
      </c>
      <c r="D25" s="274"/>
      <c r="E25" s="259"/>
      <c r="F25" s="259"/>
    </row>
    <row r="26" spans="1:6" ht="14.25">
      <c r="A26" s="259" t="s">
        <v>875</v>
      </c>
      <c r="B26" s="275" t="s">
        <v>876</v>
      </c>
      <c r="C26" s="276">
        <v>150.21332482277492</v>
      </c>
      <c r="D26" s="263"/>
      <c r="E26" s="259"/>
      <c r="F26" s="259"/>
    </row>
    <row r="27" spans="1:6" ht="14.25">
      <c r="A27" s="259" t="s">
        <v>1471</v>
      </c>
      <c r="B27" s="275" t="s">
        <v>877</v>
      </c>
      <c r="C27" s="276">
        <v>53.1776539375876</v>
      </c>
      <c r="D27" s="263"/>
      <c r="E27" s="259"/>
      <c r="F27" s="259"/>
    </row>
    <row r="28" spans="1:6" ht="14.25">
      <c r="A28" s="259" t="s">
        <v>878</v>
      </c>
      <c r="B28" s="275" t="s">
        <v>879</v>
      </c>
      <c r="C28" s="277">
        <v>-0.40116050790553059</v>
      </c>
      <c r="D28" s="278" t="s">
        <v>880</v>
      </c>
      <c r="E28" s="259"/>
      <c r="F28" s="259"/>
    </row>
    <row r="29" spans="1:6" ht="14.25">
      <c r="A29" s="259" t="s">
        <v>878</v>
      </c>
      <c r="B29" s="275" t="s">
        <v>881</v>
      </c>
      <c r="C29" s="277">
        <v>1.4511590019604832</v>
      </c>
      <c r="D29" s="278" t="s">
        <v>882</v>
      </c>
      <c r="E29" s="259"/>
      <c r="F29" s="259"/>
    </row>
    <row r="30" spans="1:6" ht="14.25">
      <c r="A30" s="259" t="s">
        <v>878</v>
      </c>
      <c r="B30" s="275" t="s">
        <v>883</v>
      </c>
      <c r="C30" s="277">
        <v>1.4228872754061914</v>
      </c>
      <c r="D30" s="278" t="s">
        <v>882</v>
      </c>
      <c r="E30" s="259"/>
      <c r="F30" s="259"/>
    </row>
    <row r="31" spans="1:6" ht="14.25">
      <c r="A31" s="259" t="s">
        <v>878</v>
      </c>
      <c r="B31" s="275" t="s">
        <v>884</v>
      </c>
      <c r="C31" s="277">
        <v>-0.36360345639939312</v>
      </c>
      <c r="D31" s="278" t="s">
        <v>880</v>
      </c>
      <c r="E31" s="259"/>
      <c r="F31" s="259"/>
    </row>
    <row r="32" spans="1:6">
      <c r="A32" s="259"/>
      <c r="B32" s="259" t="s">
        <v>885</v>
      </c>
      <c r="C32" s="279"/>
      <c r="D32" s="267"/>
      <c r="E32" s="259"/>
      <c r="F32" s="259"/>
    </row>
    <row r="33" spans="1:6">
      <c r="A33" s="259" t="s">
        <v>886</v>
      </c>
      <c r="B33" s="272" t="s">
        <v>887</v>
      </c>
      <c r="C33" s="280">
        <f>(C24*C19^C28*C26^C29+C19/C5-C11/C10-C25*C19^C30*C26^C31-C26/C6+C12/C10+C15)</f>
        <v>6.2056187744019553E-8</v>
      </c>
      <c r="D33" s="267"/>
      <c r="E33" s="259"/>
      <c r="F33" s="259"/>
    </row>
    <row r="34" spans="1:6">
      <c r="A34" s="259" t="s">
        <v>888</v>
      </c>
      <c r="B34" s="272" t="s">
        <v>889</v>
      </c>
      <c r="C34" s="280">
        <f>(C24*C20^C28*C27^C29+C20/C5-C11/C10-C25*C20^C30*C27^C31-C27/C6+C12/C10-C16)</f>
        <v>3.2932575777522288E-8</v>
      </c>
      <c r="D34" s="267"/>
      <c r="E34" s="259"/>
      <c r="F34" s="259"/>
    </row>
    <row r="35" spans="1:6">
      <c r="A35" s="259" t="s">
        <v>890</v>
      </c>
      <c r="B35" s="272" t="s">
        <v>891</v>
      </c>
      <c r="C35" s="280">
        <f>(C28*C24*C19^(C28-1)*C26^C29+1/C5-C30*C25*C19^(C30-1)*C26^C31)</f>
        <v>2.347437799699037E-10</v>
      </c>
      <c r="D35" s="267"/>
      <c r="E35" s="259"/>
      <c r="F35" s="259"/>
    </row>
    <row r="36" spans="1:6">
      <c r="A36" s="259" t="s">
        <v>892</v>
      </c>
      <c r="B36" s="272" t="s">
        <v>893</v>
      </c>
      <c r="C36" s="280">
        <f>(C29*C24*C19^C28*C26^(C29-1)-C31*C25*C19^C30*C26^(C31-1)-1/C6)</f>
        <v>3.6018832361150999E-10</v>
      </c>
      <c r="D36" s="267"/>
      <c r="E36" s="259"/>
      <c r="F36" s="259"/>
    </row>
    <row r="37" spans="1:6">
      <c r="A37" s="259" t="s">
        <v>894</v>
      </c>
      <c r="B37" s="272" t="s">
        <v>895</v>
      </c>
      <c r="C37" s="280">
        <f>(C28*C24*C20^(C28-1)*C27^C29+1/C5-C30*C25*C20^(C30-1)*C27^C31)</f>
        <v>3.4013680760835996E-10</v>
      </c>
      <c r="D37" s="267"/>
      <c r="E37" s="259"/>
      <c r="F37" s="259"/>
    </row>
    <row r="38" spans="1:6">
      <c r="A38" s="259" t="s">
        <v>896</v>
      </c>
      <c r="B38" s="272" t="s">
        <v>897</v>
      </c>
      <c r="C38" s="280">
        <f>(C29*C24*C20^C28*C27^(C29-1)-C31*C25*C20^C30*C27^(C31-1)-1/C6)</f>
        <v>-9.3852037252872833E-11</v>
      </c>
      <c r="D38" s="267"/>
      <c r="E38" s="259"/>
      <c r="F38" s="259"/>
    </row>
    <row r="39" spans="1:6">
      <c r="A39" s="259" t="s">
        <v>898</v>
      </c>
      <c r="B39" s="272" t="s">
        <v>899</v>
      </c>
      <c r="C39" s="280">
        <f>0.5*C7^2*C28*(C28-1)+0.5*C8^2*C29*(C29-1)+C9*C7*C8*C28*C29+C28*(C10-C5)+C29*(C10-C6)-C10</f>
        <v>1.5633327965502986E-14</v>
      </c>
      <c r="D39" s="267"/>
      <c r="E39" s="259"/>
      <c r="F39" s="259"/>
    </row>
    <row r="40" spans="1:6">
      <c r="A40" s="259" t="s">
        <v>900</v>
      </c>
      <c r="B40" s="272" t="s">
        <v>901</v>
      </c>
      <c r="C40" s="280">
        <f>0.5*C7^2*C30*(C30-1)+0.5*C8^2*C31*(C31-1)+C9*C7*C8*C30*C31+C30*(C10-C5)+C31*(C10-C6)-C10</f>
        <v>6.0715321659188248E-14</v>
      </c>
      <c r="D40" s="267"/>
      <c r="E40" s="259"/>
      <c r="F40" s="259"/>
    </row>
    <row r="41" spans="1:6">
      <c r="A41" s="259"/>
      <c r="B41" s="259" t="s">
        <v>902</v>
      </c>
      <c r="C41" s="281">
        <f>SUM(ABS(C33)+ABS(C34)+ABS(C35)+ABS(C36)+ABS(C37)+ABS(C38)+ABS(C39)+ABS(C40))</f>
        <v>9.6017760818634112E-8</v>
      </c>
      <c r="D41" s="282" t="s">
        <v>553</v>
      </c>
      <c r="E41" s="259"/>
      <c r="F41" s="259"/>
    </row>
    <row r="42" spans="1:6">
      <c r="B42" s="272" t="s">
        <v>903</v>
      </c>
    </row>
    <row r="43" spans="1:6">
      <c r="A43" s="272" t="s">
        <v>553</v>
      </c>
      <c r="B43" s="283" t="s">
        <v>289</v>
      </c>
      <c r="C43" s="127">
        <f>C29*C30-C28*C31</f>
        <v>1.9189723312353331</v>
      </c>
      <c r="D43" s="35" t="s">
        <v>904</v>
      </c>
    </row>
    <row r="44" spans="1:6">
      <c r="B44" s="272" t="s">
        <v>905</v>
      </c>
      <c r="C44" s="127">
        <f>1-(C29-C31)/C43</f>
        <v>5.4305041911871688E-2</v>
      </c>
      <c r="D44" s="35" t="s">
        <v>906</v>
      </c>
    </row>
    <row r="45" spans="1:6">
      <c r="B45" s="272" t="s">
        <v>907</v>
      </c>
      <c r="C45" s="127">
        <f>1-(C30-C28)/C43</f>
        <v>4.9466345282062396E-2</v>
      </c>
      <c r="D45" s="35" t="s">
        <v>908</v>
      </c>
    </row>
    <row r="46" spans="1:6">
      <c r="B46" s="272" t="s">
        <v>909</v>
      </c>
      <c r="C46" s="127">
        <f>(C26/C6)*C45-(C19/C5)*C44-C15</f>
        <v>1.1570250535442028E-8</v>
      </c>
      <c r="D46" s="127" t="s">
        <v>910</v>
      </c>
    </row>
    <row r="47" spans="1:6">
      <c r="B47" s="272" t="s">
        <v>911</v>
      </c>
      <c r="C47" s="127">
        <f>(C20/C5)*C44-(C27/C6)*C45-C16</f>
        <v>5.5108699825723306E-9</v>
      </c>
      <c r="D47" s="127" t="s">
        <v>912</v>
      </c>
    </row>
    <row r="48" spans="1:6">
      <c r="A48" s="272" t="s">
        <v>887</v>
      </c>
      <c r="B48" s="280" t="s">
        <v>913</v>
      </c>
    </row>
    <row r="49" spans="1:3">
      <c r="A49" s="272" t="s">
        <v>889</v>
      </c>
      <c r="B49" s="280" t="s">
        <v>914</v>
      </c>
    </row>
    <row r="50" spans="1:3">
      <c r="A50" s="272" t="s">
        <v>891</v>
      </c>
      <c r="B50" s="280" t="s">
        <v>915</v>
      </c>
    </row>
    <row r="51" spans="1:3">
      <c r="A51" s="272" t="s">
        <v>893</v>
      </c>
      <c r="B51" s="280" t="s">
        <v>916</v>
      </c>
    </row>
    <row r="52" spans="1:3">
      <c r="A52" s="272" t="s">
        <v>895</v>
      </c>
      <c r="B52" s="280" t="s">
        <v>917</v>
      </c>
    </row>
    <row r="53" spans="1:3">
      <c r="A53" s="272" t="s">
        <v>897</v>
      </c>
      <c r="B53" s="280" t="s">
        <v>918</v>
      </c>
    </row>
    <row r="54" spans="1:3">
      <c r="A54" s="272" t="s">
        <v>899</v>
      </c>
      <c r="B54" s="284" t="s">
        <v>919</v>
      </c>
    </row>
    <row r="55" spans="1:3">
      <c r="A55" s="272" t="s">
        <v>901</v>
      </c>
      <c r="B55" s="284" t="s">
        <v>920</v>
      </c>
    </row>
    <row r="56" spans="1:3">
      <c r="A56" s="272" t="s">
        <v>921</v>
      </c>
      <c r="C56" s="4">
        <f>C26-C27</f>
        <v>97.035670885187329</v>
      </c>
    </row>
    <row r="57" spans="1:3" ht="14.25">
      <c r="A57" s="272" t="s">
        <v>922</v>
      </c>
      <c r="B57" s="267" t="s">
        <v>923</v>
      </c>
    </row>
    <row r="58" spans="1:3" ht="14.25">
      <c r="A58" s="272" t="s">
        <v>924</v>
      </c>
      <c r="B58" s="267" t="s">
        <v>925</v>
      </c>
    </row>
  </sheetData>
  <printOptions horizontalCentered="1" headings="1"/>
  <pageMargins left="0.7" right="0.7" top="0.75" bottom="0.75" header="0.3" footer="0.3"/>
  <pageSetup scale="80" orientation="portrait" horizontalDpi="4294967293" verticalDpi="0" r:id="rId1"/>
</worksheet>
</file>

<file path=xl/worksheets/sheet70.xml><?xml version="1.0" encoding="utf-8"?>
<worksheet xmlns="http://schemas.openxmlformats.org/spreadsheetml/2006/main" xmlns:r="http://schemas.openxmlformats.org/officeDocument/2006/relationships">
  <dimension ref="A1:I54"/>
  <sheetViews>
    <sheetView topLeftCell="A44" workbookViewId="0">
      <selection activeCell="A60" sqref="A60"/>
    </sheetView>
  </sheetViews>
  <sheetFormatPr defaultRowHeight="12.75"/>
  <cols>
    <col min="1" max="1" width="26.7109375" bestFit="1" customWidth="1"/>
    <col min="2" max="2" width="13.85546875" bestFit="1" customWidth="1"/>
  </cols>
  <sheetData>
    <row r="1" spans="1:9" ht="15.75">
      <c r="A1" s="258" t="s">
        <v>553</v>
      </c>
      <c r="B1" s="259"/>
      <c r="C1" s="260"/>
      <c r="D1" s="260"/>
      <c r="E1" s="260"/>
      <c r="F1" s="260"/>
      <c r="G1" s="260"/>
      <c r="H1" s="260"/>
      <c r="I1" s="259"/>
    </row>
    <row r="2" spans="1:9" ht="13.5">
      <c r="A2" s="259"/>
      <c r="B2" s="259" t="s">
        <v>926</v>
      </c>
      <c r="C2" s="261"/>
      <c r="D2" s="261"/>
      <c r="E2" s="261"/>
      <c r="F2" s="261"/>
      <c r="G2" s="261"/>
      <c r="H2" s="261"/>
      <c r="I2" s="259"/>
    </row>
    <row r="3" spans="1:9">
      <c r="A3" s="259" t="s">
        <v>837</v>
      </c>
      <c r="B3" s="259" t="s">
        <v>491</v>
      </c>
      <c r="C3" s="285">
        <v>100</v>
      </c>
      <c r="D3" s="285">
        <v>100</v>
      </c>
      <c r="E3" s="285">
        <v>100</v>
      </c>
      <c r="F3" s="285">
        <v>100</v>
      </c>
      <c r="G3" s="285">
        <v>100</v>
      </c>
      <c r="H3" s="285">
        <v>100</v>
      </c>
      <c r="I3" s="263" t="s">
        <v>553</v>
      </c>
    </row>
    <row r="4" spans="1:9">
      <c r="A4" s="259" t="s">
        <v>838</v>
      </c>
      <c r="B4" s="259" t="s">
        <v>839</v>
      </c>
      <c r="C4" s="259">
        <v>100</v>
      </c>
      <c r="D4" s="259">
        <v>100</v>
      </c>
      <c r="E4" s="259">
        <v>100</v>
      </c>
      <c r="F4" s="259">
        <v>100</v>
      </c>
      <c r="G4" s="259">
        <v>100</v>
      </c>
      <c r="H4" s="259">
        <v>100</v>
      </c>
      <c r="I4" s="263" t="s">
        <v>553</v>
      </c>
    </row>
    <row r="5" spans="1:9" ht="14.25">
      <c r="A5" s="259" t="s">
        <v>840</v>
      </c>
      <c r="B5" s="205" t="s">
        <v>841</v>
      </c>
      <c r="C5" s="205">
        <v>0.04</v>
      </c>
      <c r="D5" s="205">
        <v>0.04</v>
      </c>
      <c r="E5" s="205">
        <v>0.04</v>
      </c>
      <c r="F5" s="205">
        <v>0.04</v>
      </c>
      <c r="G5" s="205">
        <v>0.04</v>
      </c>
      <c r="H5" s="205">
        <v>0.04</v>
      </c>
      <c r="I5" s="263"/>
    </row>
    <row r="6" spans="1:9" ht="14.25">
      <c r="A6" s="259" t="s">
        <v>842</v>
      </c>
      <c r="B6" s="205" t="s">
        <v>843</v>
      </c>
      <c r="C6" s="205">
        <v>0.04</v>
      </c>
      <c r="D6" s="205">
        <v>0.04</v>
      </c>
      <c r="E6" s="205">
        <v>0.04</v>
      </c>
      <c r="F6" s="205">
        <v>0.04</v>
      </c>
      <c r="G6" s="205">
        <v>0.04</v>
      </c>
      <c r="H6" s="205">
        <v>0.04</v>
      </c>
      <c r="I6" s="264"/>
    </row>
    <row r="7" spans="1:9" ht="14.25">
      <c r="A7" s="286" t="s">
        <v>844</v>
      </c>
      <c r="B7" s="287" t="s">
        <v>927</v>
      </c>
      <c r="C7" s="288">
        <v>0.2</v>
      </c>
      <c r="D7" s="288">
        <f>C7+0.05</f>
        <v>0.25</v>
      </c>
      <c r="E7" s="288">
        <f>D7+0.05</f>
        <v>0.3</v>
      </c>
      <c r="F7" s="288">
        <f>E7+0.05</f>
        <v>0.35</v>
      </c>
      <c r="G7" s="288">
        <f>F7+0.05</f>
        <v>0.39999999999999997</v>
      </c>
      <c r="H7" s="288">
        <f>G7+0.05</f>
        <v>0.44999999999999996</v>
      </c>
      <c r="I7" s="264"/>
    </row>
    <row r="8" spans="1:9" ht="14.25">
      <c r="A8" s="259" t="s">
        <v>846</v>
      </c>
      <c r="B8" s="205" t="s">
        <v>847</v>
      </c>
      <c r="C8" s="265">
        <v>0.3</v>
      </c>
      <c r="D8" s="265">
        <v>0.3</v>
      </c>
      <c r="E8" s="265">
        <v>0.3</v>
      </c>
      <c r="F8" s="265">
        <v>0.3</v>
      </c>
      <c r="G8" s="265">
        <v>0.3</v>
      </c>
      <c r="H8" s="265">
        <v>0.3</v>
      </c>
      <c r="I8" s="264"/>
    </row>
    <row r="9" spans="1:9">
      <c r="A9" s="259" t="s">
        <v>848</v>
      </c>
      <c r="B9" s="205" t="s">
        <v>849</v>
      </c>
      <c r="C9" s="265">
        <v>0.5</v>
      </c>
      <c r="D9" s="265">
        <v>0.5</v>
      </c>
      <c r="E9" s="265">
        <v>0.5</v>
      </c>
      <c r="F9" s="265">
        <v>0.5</v>
      </c>
      <c r="G9" s="265">
        <v>0.5</v>
      </c>
      <c r="H9" s="265">
        <v>0.5</v>
      </c>
      <c r="I9" s="264"/>
    </row>
    <row r="10" spans="1:9">
      <c r="A10" s="259" t="s">
        <v>850</v>
      </c>
      <c r="B10" s="205" t="s">
        <v>2</v>
      </c>
      <c r="C10" s="205">
        <v>0.05</v>
      </c>
      <c r="D10" s="205">
        <v>0.05</v>
      </c>
      <c r="E10" s="205">
        <v>0.05</v>
      </c>
      <c r="F10" s="205">
        <v>0.05</v>
      </c>
      <c r="G10" s="205">
        <v>0.05</v>
      </c>
      <c r="H10" s="205">
        <v>0.05</v>
      </c>
      <c r="I10" s="264"/>
    </row>
    <row r="11" spans="1:9" ht="14.25">
      <c r="A11" s="259" t="s">
        <v>851</v>
      </c>
      <c r="B11" s="205" t="s">
        <v>852</v>
      </c>
      <c r="C11" s="289">
        <v>50</v>
      </c>
      <c r="D11" s="289">
        <v>50</v>
      </c>
      <c r="E11" s="289">
        <v>50</v>
      </c>
      <c r="F11" s="289">
        <v>50</v>
      </c>
      <c r="G11" s="289">
        <v>50</v>
      </c>
      <c r="H11" s="289">
        <v>50</v>
      </c>
      <c r="I11" s="264"/>
    </row>
    <row r="12" spans="1:9" ht="14.25">
      <c r="A12" s="259" t="s">
        <v>853</v>
      </c>
      <c r="B12" s="205" t="s">
        <v>854</v>
      </c>
      <c r="C12" s="289">
        <v>50</v>
      </c>
      <c r="D12" s="289">
        <v>50</v>
      </c>
      <c r="E12" s="289">
        <v>50</v>
      </c>
      <c r="F12" s="289">
        <v>50</v>
      </c>
      <c r="G12" s="289">
        <v>50</v>
      </c>
      <c r="H12" s="289">
        <v>50</v>
      </c>
      <c r="I12" s="264"/>
    </row>
    <row r="13" spans="1:9" ht="14.25">
      <c r="A13" s="259" t="s">
        <v>928</v>
      </c>
      <c r="B13" s="205" t="s">
        <v>929</v>
      </c>
      <c r="C13" s="264">
        <v>1</v>
      </c>
      <c r="D13" s="264">
        <v>1</v>
      </c>
      <c r="E13" s="264">
        <v>1</v>
      </c>
      <c r="F13" s="264">
        <v>1</v>
      </c>
      <c r="G13" s="264">
        <v>1</v>
      </c>
      <c r="H13" s="264">
        <v>1</v>
      </c>
      <c r="I13" s="264"/>
    </row>
    <row r="14" spans="1:9" ht="14.25">
      <c r="A14" s="259" t="s">
        <v>930</v>
      </c>
      <c r="B14" s="205" t="s">
        <v>931</v>
      </c>
      <c r="C14" s="264">
        <v>1</v>
      </c>
      <c r="D14" s="264">
        <v>1</v>
      </c>
      <c r="E14" s="264">
        <v>1</v>
      </c>
      <c r="F14" s="264">
        <v>1</v>
      </c>
      <c r="G14" s="264">
        <v>1</v>
      </c>
      <c r="H14" s="264">
        <v>1</v>
      </c>
      <c r="I14" s="264"/>
    </row>
    <row r="15" spans="1:9" ht="14.25">
      <c r="A15" s="259" t="s">
        <v>855</v>
      </c>
      <c r="B15" s="205" t="s">
        <v>856</v>
      </c>
      <c r="C15" s="264">
        <v>50</v>
      </c>
      <c r="D15" s="264">
        <v>50</v>
      </c>
      <c r="E15" s="264">
        <v>50</v>
      </c>
      <c r="F15" s="264">
        <v>50</v>
      </c>
      <c r="G15" s="264">
        <v>50</v>
      </c>
      <c r="H15" s="264">
        <v>50</v>
      </c>
      <c r="I15" s="264"/>
    </row>
    <row r="16" spans="1:9" ht="14.25">
      <c r="A16" s="259" t="s">
        <v>857</v>
      </c>
      <c r="B16" s="205" t="s">
        <v>858</v>
      </c>
      <c r="C16" s="264">
        <v>70</v>
      </c>
      <c r="D16" s="264">
        <v>70</v>
      </c>
      <c r="E16" s="264">
        <v>70</v>
      </c>
      <c r="F16" s="264">
        <v>70</v>
      </c>
      <c r="G16" s="264">
        <v>70</v>
      </c>
      <c r="H16" s="264">
        <v>70</v>
      </c>
      <c r="I16" s="264"/>
    </row>
    <row r="17" spans="1:9">
      <c r="A17" s="259" t="s">
        <v>859</v>
      </c>
      <c r="B17" s="259" t="s">
        <v>114</v>
      </c>
      <c r="C17" s="267">
        <f t="shared" ref="C17:H17" si="0">C13*(C3/C5-C11/C10)</f>
        <v>1500</v>
      </c>
      <c r="D17" s="267">
        <f t="shared" si="0"/>
        <v>1500</v>
      </c>
      <c r="E17" s="267">
        <f t="shared" si="0"/>
        <v>1500</v>
      </c>
      <c r="F17" s="267">
        <f t="shared" si="0"/>
        <v>1500</v>
      </c>
      <c r="G17" s="267">
        <f t="shared" si="0"/>
        <v>1500</v>
      </c>
      <c r="H17" s="267">
        <f t="shared" si="0"/>
        <v>1500</v>
      </c>
      <c r="I17" s="264" t="s">
        <v>860</v>
      </c>
    </row>
    <row r="18" spans="1:9">
      <c r="A18" s="259" t="s">
        <v>861</v>
      </c>
      <c r="B18" s="259" t="s">
        <v>862</v>
      </c>
      <c r="C18" s="267">
        <f t="shared" ref="C18:H18" si="1">C14*(C4/C6-C12/C10)</f>
        <v>1500</v>
      </c>
      <c r="D18" s="267">
        <f t="shared" si="1"/>
        <v>1500</v>
      </c>
      <c r="E18" s="267">
        <f t="shared" si="1"/>
        <v>1500</v>
      </c>
      <c r="F18" s="267">
        <f t="shared" si="1"/>
        <v>1500</v>
      </c>
      <c r="G18" s="267">
        <f t="shared" si="1"/>
        <v>1500</v>
      </c>
      <c r="H18" s="267">
        <f t="shared" si="1"/>
        <v>1500</v>
      </c>
      <c r="I18" s="264" t="s">
        <v>863</v>
      </c>
    </row>
    <row r="19" spans="1:9" ht="14.25">
      <c r="A19" s="259" t="s">
        <v>864</v>
      </c>
      <c r="B19" s="205" t="s">
        <v>865</v>
      </c>
      <c r="C19" s="268">
        <f t="shared" ref="C19:H19" si="2">C3</f>
        <v>100</v>
      </c>
      <c r="D19" s="268">
        <f t="shared" si="2"/>
        <v>100</v>
      </c>
      <c r="E19" s="268">
        <f t="shared" si="2"/>
        <v>100</v>
      </c>
      <c r="F19" s="268">
        <f t="shared" si="2"/>
        <v>100</v>
      </c>
      <c r="G19" s="268">
        <f t="shared" si="2"/>
        <v>100</v>
      </c>
      <c r="H19" s="268">
        <f t="shared" si="2"/>
        <v>100</v>
      </c>
      <c r="I19" s="264"/>
    </row>
    <row r="20" spans="1:9" ht="14.25">
      <c r="A20" s="259" t="s">
        <v>866</v>
      </c>
      <c r="B20" s="205" t="s">
        <v>867</v>
      </c>
      <c r="C20" s="268">
        <f t="shared" ref="C20:H20" si="3">C3</f>
        <v>100</v>
      </c>
      <c r="D20" s="268">
        <f t="shared" si="3"/>
        <v>100</v>
      </c>
      <c r="E20" s="268">
        <f t="shared" si="3"/>
        <v>100</v>
      </c>
      <c r="F20" s="268">
        <f t="shared" si="3"/>
        <v>100</v>
      </c>
      <c r="G20" s="268">
        <f t="shared" si="3"/>
        <v>100</v>
      </c>
      <c r="H20" s="268">
        <f t="shared" si="3"/>
        <v>100</v>
      </c>
      <c r="I20" s="264"/>
    </row>
    <row r="21" spans="1:9">
      <c r="A21" s="259"/>
      <c r="B21" s="259" t="s">
        <v>868</v>
      </c>
      <c r="C21" s="259"/>
      <c r="D21" s="259"/>
      <c r="E21" s="259"/>
      <c r="F21" s="259"/>
      <c r="G21" s="259"/>
      <c r="H21" s="259"/>
      <c r="I21" s="259" t="s">
        <v>553</v>
      </c>
    </row>
    <row r="22" spans="1:9" ht="14.25">
      <c r="A22" s="259" t="s">
        <v>870</v>
      </c>
      <c r="B22" s="272" t="s">
        <v>932</v>
      </c>
      <c r="C22" s="267">
        <f t="shared" ref="C22:H22" si="4">C13*C3/C5-C13*C11/C10+C24*C3^C28*C4^C29</f>
        <v>2490.9426832405015</v>
      </c>
      <c r="D22" s="267">
        <f t="shared" si="4"/>
        <v>2537.3527826535715</v>
      </c>
      <c r="E22" s="267">
        <f t="shared" si="4"/>
        <v>2606.0041494756042</v>
      </c>
      <c r="F22" s="267">
        <f t="shared" si="4"/>
        <v>2689.3580787043538</v>
      </c>
      <c r="G22" s="267">
        <f t="shared" si="4"/>
        <v>2780.3678909184728</v>
      </c>
      <c r="H22" s="267">
        <f t="shared" si="4"/>
        <v>2873.4351303848971</v>
      </c>
      <c r="I22" s="267" t="s">
        <v>553</v>
      </c>
    </row>
    <row r="23" spans="1:9" ht="14.25">
      <c r="A23" s="259" t="s">
        <v>872</v>
      </c>
      <c r="B23" s="272" t="s">
        <v>933</v>
      </c>
      <c r="C23" s="267">
        <f t="shared" ref="C23:H23" si="5">C14*C4/C6-C14*C12/C10+C25*C3^C30*C4^C31</f>
        <v>2475.2987281032752</v>
      </c>
      <c r="D23" s="267">
        <f t="shared" si="5"/>
        <v>2525.8508854942529</v>
      </c>
      <c r="E23" s="267">
        <f t="shared" si="5"/>
        <v>2598.9536817150033</v>
      </c>
      <c r="F23" s="267">
        <f t="shared" si="5"/>
        <v>2686.6694659363493</v>
      </c>
      <c r="G23" s="267">
        <f t="shared" si="5"/>
        <v>2781.7606059952677</v>
      </c>
      <c r="H23" s="267">
        <f t="shared" si="5"/>
        <v>2878.5852995887458</v>
      </c>
      <c r="I23" s="267" t="s">
        <v>553</v>
      </c>
    </row>
    <row r="24" spans="1:9">
      <c r="A24" s="259"/>
      <c r="B24" s="272" t="s">
        <v>609</v>
      </c>
      <c r="C24" s="273">
        <v>7.7156966916045935</v>
      </c>
      <c r="D24" s="273">
        <v>8.0885305942242471</v>
      </c>
      <c r="E24" s="273">
        <v>8.6629346232045243</v>
      </c>
      <c r="F24" s="273">
        <v>9.3770360612918946</v>
      </c>
      <c r="G24" s="273">
        <v>10.170394199213677</v>
      </c>
      <c r="H24" s="273">
        <v>10.992757861935047</v>
      </c>
      <c r="I24" s="274"/>
    </row>
    <row r="25" spans="1:9">
      <c r="A25" s="259"/>
      <c r="B25" s="272" t="s">
        <v>874</v>
      </c>
      <c r="C25" s="273">
        <v>6.8763144787778989</v>
      </c>
      <c r="D25" s="273">
        <v>7.3543486349042615</v>
      </c>
      <c r="E25" s="273">
        <v>8.0388657846009419</v>
      </c>
      <c r="F25" s="273">
        <v>8.8604185790669252</v>
      </c>
      <c r="G25" s="273">
        <v>9.7552697238051191</v>
      </c>
      <c r="H25" s="273">
        <v>10.672886008779081</v>
      </c>
      <c r="I25" s="274"/>
    </row>
    <row r="26" spans="1:9" ht="14.25">
      <c r="A26" s="259" t="s">
        <v>875</v>
      </c>
      <c r="B26" s="275" t="s">
        <v>876</v>
      </c>
      <c r="C26" s="290">
        <v>150.68752557638555</v>
      </c>
      <c r="D26" s="290">
        <v>149.95501570136304</v>
      </c>
      <c r="E26" s="290">
        <v>149.72396056977232</v>
      </c>
      <c r="F26" s="290">
        <v>149.86094089346614</v>
      </c>
      <c r="G26" s="290">
        <v>150.21332482666531</v>
      </c>
      <c r="H26" s="290">
        <v>150.63945361872652</v>
      </c>
      <c r="I26" s="263"/>
    </row>
    <row r="27" spans="1:9" ht="14.25">
      <c r="A27" s="259" t="s">
        <v>875</v>
      </c>
      <c r="B27" s="275" t="s">
        <v>877</v>
      </c>
      <c r="C27" s="290">
        <v>65.91595462169326</v>
      </c>
      <c r="D27" s="290">
        <v>63.442574538796478</v>
      </c>
      <c r="E27" s="290">
        <v>60.323043388991415</v>
      </c>
      <c r="F27" s="290">
        <v>56.832333424746274</v>
      </c>
      <c r="G27" s="290">
        <v>53.177653937499777</v>
      </c>
      <c r="H27" s="290">
        <v>49.494626970873959</v>
      </c>
      <c r="I27" s="263"/>
    </row>
    <row r="28" spans="1:9" ht="14.25">
      <c r="A28" s="259" t="s">
        <v>878</v>
      </c>
      <c r="B28" s="275" t="s">
        <v>879</v>
      </c>
      <c r="C28" s="277">
        <v>-0.61636091834019791</v>
      </c>
      <c r="D28" s="277">
        <v>-0.57700780854460942</v>
      </c>
      <c r="E28" s="277">
        <v>-0.5215551172247489</v>
      </c>
      <c r="F28" s="277">
        <v>-0.46049234544763523</v>
      </c>
      <c r="G28" s="277">
        <v>-0.40116050791196678</v>
      </c>
      <c r="H28" s="277">
        <v>-0.34736835639231273</v>
      </c>
      <c r="I28" s="278" t="s">
        <v>880</v>
      </c>
    </row>
    <row r="29" spans="1:9" ht="14.25">
      <c r="A29" s="259" t="s">
        <v>878</v>
      </c>
      <c r="B29" s="275" t="s">
        <v>881</v>
      </c>
      <c r="C29" s="277">
        <v>1.6706976125375634</v>
      </c>
      <c r="D29" s="277">
        <v>1.6310362304154784</v>
      </c>
      <c r="E29" s="277">
        <v>1.5746009769426763</v>
      </c>
      <c r="F29" s="277">
        <v>1.5121158657875833</v>
      </c>
      <c r="G29" s="277">
        <v>1.4511590019560254</v>
      </c>
      <c r="H29" s="277">
        <v>1.3957191013655614</v>
      </c>
      <c r="I29" s="278" t="s">
        <v>882</v>
      </c>
    </row>
    <row r="30" spans="1:9" ht="14.25">
      <c r="A30" s="259" t="s">
        <v>878</v>
      </c>
      <c r="B30" s="275" t="s">
        <v>883</v>
      </c>
      <c r="C30" s="277">
        <v>1.7206772543518369</v>
      </c>
      <c r="D30" s="277">
        <v>1.6557406472339675</v>
      </c>
      <c r="E30" s="277">
        <v>1.5762505867928527</v>
      </c>
      <c r="F30" s="277">
        <v>1.4960508701670439</v>
      </c>
      <c r="G30" s="277">
        <v>1.4228872754067396</v>
      </c>
      <c r="H30" s="277">
        <v>1.3596195696618016</v>
      </c>
      <c r="I30" s="278" t="s">
        <v>882</v>
      </c>
    </row>
    <row r="31" spans="1:9" ht="14.25">
      <c r="A31" s="259" t="s">
        <v>878</v>
      </c>
      <c r="B31" s="275" t="s">
        <v>884</v>
      </c>
      <c r="C31" s="277">
        <v>-0.64478629059240344</v>
      </c>
      <c r="D31" s="277">
        <v>-0.58347063533696131</v>
      </c>
      <c r="E31" s="277">
        <v>-0.50835828153991114</v>
      </c>
      <c r="F31" s="277">
        <v>-0.43261310584227514</v>
      </c>
      <c r="G31" s="277">
        <v>-0.36360345640705222</v>
      </c>
      <c r="H31" s="277">
        <v>-0.30404368359437756</v>
      </c>
      <c r="I31" s="278" t="s">
        <v>880</v>
      </c>
    </row>
    <row r="32" spans="1:9">
      <c r="A32" s="259"/>
      <c r="B32" s="259" t="s">
        <v>885</v>
      </c>
      <c r="C32" s="279"/>
      <c r="D32" s="279"/>
      <c r="E32" s="279"/>
      <c r="F32" s="279"/>
      <c r="G32" s="279"/>
      <c r="H32" s="279"/>
      <c r="I32" s="267"/>
    </row>
    <row r="33" spans="1:9">
      <c r="A33" s="259" t="s">
        <v>886</v>
      </c>
      <c r="B33" s="272" t="s">
        <v>887</v>
      </c>
      <c r="C33" s="280">
        <f t="shared" ref="C33:H33" si="6">(C24*C19^C28*C26^C29+C13*C19/C5-C13*C11/C10-C25*C19^C30*C26^C31-C14*C26/C6+C14*C12/C10+C15)</f>
        <v>1.3642420526593924E-12</v>
      </c>
      <c r="D33" s="280">
        <f t="shared" si="6"/>
        <v>-2.2737367544323206E-12</v>
      </c>
      <c r="E33" s="280">
        <f t="shared" si="6"/>
        <v>-4.5474735088646412E-13</v>
      </c>
      <c r="F33" s="280">
        <f t="shared" si="6"/>
        <v>2.4875816961866803E-7</v>
      </c>
      <c r="G33" s="280">
        <f t="shared" si="6"/>
        <v>-1.8189894035458565E-12</v>
      </c>
      <c r="H33" s="280">
        <f t="shared" si="6"/>
        <v>4.5474735088646412E-12</v>
      </c>
      <c r="I33" s="267"/>
    </row>
    <row r="34" spans="1:9">
      <c r="A34" s="259" t="s">
        <v>888</v>
      </c>
      <c r="B34" s="272" t="s">
        <v>889</v>
      </c>
      <c r="C34" s="280">
        <f t="shared" ref="C34:H34" si="7">(C24*C20^C28*C27^C29+C13*C20/C5-C13*C11/C10-C25*C20^C30*C27^C31-C14*C27/C6+C14*C12/C10-C16)</f>
        <v>-6.8212102632969618E-13</v>
      </c>
      <c r="D34" s="280">
        <f t="shared" si="7"/>
        <v>6.8212102632969618E-13</v>
      </c>
      <c r="E34" s="280">
        <f t="shared" si="7"/>
        <v>-9.0949470177292824E-13</v>
      </c>
      <c r="F34" s="280">
        <f t="shared" si="7"/>
        <v>1.1963379620283376E-7</v>
      </c>
      <c r="G34" s="280">
        <f t="shared" si="7"/>
        <v>-6.8212102632969618E-13</v>
      </c>
      <c r="H34" s="280">
        <f t="shared" si="7"/>
        <v>1.1368683772161603E-12</v>
      </c>
      <c r="I34" s="267"/>
    </row>
    <row r="35" spans="1:9">
      <c r="A35" s="259" t="s">
        <v>890</v>
      </c>
      <c r="B35" s="272" t="s">
        <v>891</v>
      </c>
      <c r="C35" s="280">
        <f t="shared" ref="C35:H35" si="8">(C28*C24*C19^(C28-1)*C26^C29+C13/C5-C30*C25*C19^(C30-1)*C26^C31)</f>
        <v>-7.1054273576010019E-15</v>
      </c>
      <c r="D35" s="280">
        <f t="shared" si="8"/>
        <v>1.2434497875801753E-14</v>
      </c>
      <c r="E35" s="280">
        <f t="shared" si="8"/>
        <v>-5.3290705182007514E-15</v>
      </c>
      <c r="F35" s="280">
        <f t="shared" si="8"/>
        <v>4.318874147202223E-10</v>
      </c>
      <c r="G35" s="280">
        <f t="shared" si="8"/>
        <v>-1.0658141036401503E-14</v>
      </c>
      <c r="H35" s="280">
        <f t="shared" si="8"/>
        <v>-1.7763568394002505E-14</v>
      </c>
      <c r="I35" s="267"/>
    </row>
    <row r="36" spans="1:9">
      <c r="A36" s="259" t="s">
        <v>892</v>
      </c>
      <c r="B36" s="272" t="s">
        <v>893</v>
      </c>
      <c r="C36" s="280">
        <f t="shared" ref="C36:H36" si="9">(C29*C24*C19^C28*C26^(C29-1)-C31*C25*C19^C30*C26^(C31-1)-C14/C6)</f>
        <v>7.1054273576010019E-15</v>
      </c>
      <c r="D36" s="280">
        <f t="shared" si="9"/>
        <v>-1.4210854715202004E-14</v>
      </c>
      <c r="E36" s="280">
        <f t="shared" si="9"/>
        <v>-1.0658141036401503E-14</v>
      </c>
      <c r="F36" s="280">
        <f t="shared" si="9"/>
        <v>1.1218403983548342E-9</v>
      </c>
      <c r="G36" s="280">
        <f t="shared" si="9"/>
        <v>-7.1054273576010019E-15</v>
      </c>
      <c r="H36" s="280">
        <f t="shared" si="9"/>
        <v>1.4210854715202004E-14</v>
      </c>
      <c r="I36" s="267"/>
    </row>
    <row r="37" spans="1:9">
      <c r="A37" s="259" t="s">
        <v>894</v>
      </c>
      <c r="B37" s="272" t="s">
        <v>895</v>
      </c>
      <c r="C37" s="280">
        <f t="shared" ref="C37:H37" si="10">(C28*C24*C20^(C28-1)*C27^C29+C13/C5-C30*C25*C20^(C30-1)*C27^C31)</f>
        <v>0</v>
      </c>
      <c r="D37" s="280">
        <f t="shared" si="10"/>
        <v>0</v>
      </c>
      <c r="E37" s="280">
        <f t="shared" si="10"/>
        <v>-7.1054273576010019E-15</v>
      </c>
      <c r="F37" s="280">
        <f t="shared" si="10"/>
        <v>4.3869263777196466E-10</v>
      </c>
      <c r="G37" s="280">
        <f t="shared" si="10"/>
        <v>-3.5527136788005009E-15</v>
      </c>
      <c r="H37" s="280">
        <f t="shared" si="10"/>
        <v>-3.5527136788005009E-15</v>
      </c>
      <c r="I37" s="267"/>
    </row>
    <row r="38" spans="1:9">
      <c r="A38" s="259" t="s">
        <v>896</v>
      </c>
      <c r="B38" s="272" t="s">
        <v>897</v>
      </c>
      <c r="C38" s="280">
        <f t="shared" ref="C38:H38" si="11">(C29*C24*C20^C28*C27^(C29-1)-C31*C25*C20^C30*C27^(C31-1)-C14/C6)</f>
        <v>1.7763568394002505E-14</v>
      </c>
      <c r="D38" s="280">
        <f t="shared" si="11"/>
        <v>-1.7763568394002505E-14</v>
      </c>
      <c r="E38" s="280">
        <f t="shared" si="11"/>
        <v>0</v>
      </c>
      <c r="F38" s="280">
        <f t="shared" si="11"/>
        <v>1.7942127783499018E-9</v>
      </c>
      <c r="G38" s="280">
        <f t="shared" si="11"/>
        <v>-7.1054273576010019E-15</v>
      </c>
      <c r="H38" s="280">
        <f t="shared" si="11"/>
        <v>-7.1054273576010019E-15</v>
      </c>
      <c r="I38" s="267"/>
    </row>
    <row r="39" spans="1:9">
      <c r="A39" s="259" t="s">
        <v>898</v>
      </c>
      <c r="B39" s="272" t="s">
        <v>899</v>
      </c>
      <c r="C39" s="280">
        <f t="shared" ref="C39:H39" si="12">0.5*C7^2*C28*(C28-1)+0.5*C8^2*C29*(C29-1)+C9*C7*C8*C28*C29+C28*(C10-C5)+C29*(C10-C6)-C10</f>
        <v>0</v>
      </c>
      <c r="D39" s="280">
        <f t="shared" si="12"/>
        <v>0</v>
      </c>
      <c r="E39" s="280">
        <f t="shared" si="12"/>
        <v>0</v>
      </c>
      <c r="F39" s="280">
        <f t="shared" si="12"/>
        <v>2.3495094758629875E-14</v>
      </c>
      <c r="G39" s="280">
        <f t="shared" si="12"/>
        <v>0</v>
      </c>
      <c r="H39" s="280">
        <f t="shared" si="12"/>
        <v>0</v>
      </c>
      <c r="I39" s="267"/>
    </row>
    <row r="40" spans="1:9">
      <c r="A40" s="259" t="s">
        <v>900</v>
      </c>
      <c r="B40" s="272" t="s">
        <v>901</v>
      </c>
      <c r="C40" s="280">
        <f t="shared" ref="C40:H40" si="13">0.5*C7^2*C30*(C30-1)+0.5*C8^2*C31*(C31-1)+C9*C7*C8*C30*C31+C30*(C10-C5)+C31*(C10-C6)-C10</f>
        <v>0</v>
      </c>
      <c r="D40" s="280">
        <f t="shared" si="13"/>
        <v>0</v>
      </c>
      <c r="E40" s="280">
        <f t="shared" si="13"/>
        <v>0</v>
      </c>
      <c r="F40" s="280">
        <f t="shared" si="13"/>
        <v>-1.3279516375419576E-12</v>
      </c>
      <c r="G40" s="280">
        <f t="shared" si="13"/>
        <v>0</v>
      </c>
      <c r="H40" s="280">
        <f t="shared" si="13"/>
        <v>0</v>
      </c>
      <c r="I40" s="267"/>
    </row>
    <row r="41" spans="1:9">
      <c r="A41" s="259"/>
      <c r="B41" s="259" t="s">
        <v>902</v>
      </c>
      <c r="C41" s="281">
        <f t="shared" ref="C41:H41" si="14">SUM(ABS(C33)+ABS(C34)+ABS(C35)+ABS(C36)+ABS(C37)+ABS(C38)+ABS(C39)+ABS(C40))</f>
        <v>2.078337502098293E-12</v>
      </c>
      <c r="D41" s="281">
        <f t="shared" si="14"/>
        <v>3.000266701747023E-12</v>
      </c>
      <c r="E41" s="281">
        <f t="shared" si="14"/>
        <v>1.3873346915715956E-12</v>
      </c>
      <c r="F41" s="281">
        <f t="shared" si="14"/>
        <v>3.7217995049743102E-7</v>
      </c>
      <c r="G41" s="281">
        <f t="shared" si="14"/>
        <v>2.5295321393059567E-12</v>
      </c>
      <c r="H41" s="281">
        <f t="shared" si="14"/>
        <v>5.7269744502264075E-12</v>
      </c>
      <c r="I41" s="291">
        <f t="array" ref="I41">SUM(ABS(C41:F41))</f>
        <v>3.7218641643632644E-7</v>
      </c>
    </row>
    <row r="42" spans="1:9" ht="14.25">
      <c r="B42" s="259" t="s">
        <v>934</v>
      </c>
      <c r="C42" s="281">
        <f t="shared" ref="C42:H42" si="15">C26-C27</f>
        <v>84.771570954692294</v>
      </c>
      <c r="D42" s="281">
        <f t="shared" si="15"/>
        <v>86.51244116256656</v>
      </c>
      <c r="E42" s="281">
        <f t="shared" si="15"/>
        <v>89.400917180780908</v>
      </c>
      <c r="F42" s="281">
        <f t="shared" si="15"/>
        <v>93.028607468719855</v>
      </c>
      <c r="G42" s="281">
        <f t="shared" si="15"/>
        <v>97.035670889165544</v>
      </c>
      <c r="H42" s="281">
        <f t="shared" si="15"/>
        <v>101.14482664785257</v>
      </c>
      <c r="I42" s="282"/>
    </row>
    <row r="43" spans="1:9">
      <c r="B43" s="272" t="s">
        <v>935</v>
      </c>
    </row>
    <row r="44" spans="1:9">
      <c r="A44" s="272" t="s">
        <v>887</v>
      </c>
      <c r="B44" s="292" t="s">
        <v>936</v>
      </c>
    </row>
    <row r="45" spans="1:9">
      <c r="A45" s="272" t="s">
        <v>889</v>
      </c>
      <c r="B45" s="292" t="s">
        <v>937</v>
      </c>
    </row>
    <row r="46" spans="1:9">
      <c r="A46" s="272" t="s">
        <v>891</v>
      </c>
      <c r="B46" s="280" t="s">
        <v>938</v>
      </c>
    </row>
    <row r="47" spans="1:9">
      <c r="A47" s="272" t="s">
        <v>893</v>
      </c>
      <c r="B47" s="280" t="s">
        <v>939</v>
      </c>
    </row>
    <row r="48" spans="1:9">
      <c r="A48" s="272" t="s">
        <v>895</v>
      </c>
      <c r="B48" s="280" t="s">
        <v>940</v>
      </c>
    </row>
    <row r="49" spans="1:2">
      <c r="A49" s="272" t="s">
        <v>897</v>
      </c>
      <c r="B49" s="280" t="s">
        <v>941</v>
      </c>
    </row>
    <row r="50" spans="1:2">
      <c r="A50" s="272" t="s">
        <v>899</v>
      </c>
      <c r="B50" s="280" t="s">
        <v>919</v>
      </c>
    </row>
    <row r="51" spans="1:2">
      <c r="A51" s="272" t="s">
        <v>901</v>
      </c>
      <c r="B51" s="280" t="s">
        <v>920</v>
      </c>
    </row>
    <row r="53" spans="1:2" ht="14.25">
      <c r="A53" s="272" t="s">
        <v>932</v>
      </c>
      <c r="B53" s="267" t="s">
        <v>942</v>
      </c>
    </row>
    <row r="54" spans="1:2" ht="14.25">
      <c r="A54" s="272" t="s">
        <v>933</v>
      </c>
      <c r="B54" s="267" t="s">
        <v>943</v>
      </c>
    </row>
  </sheetData>
  <pageMargins left="0.7" right="0.7" top="0.75" bottom="0.75" header="0.3" footer="0.3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>
  <dimension ref="A1:F39"/>
  <sheetViews>
    <sheetView workbookViewId="0">
      <selection activeCell="D1" sqref="D1"/>
    </sheetView>
  </sheetViews>
  <sheetFormatPr defaultRowHeight="12.75"/>
  <cols>
    <col min="1" max="1" width="26.7109375" bestFit="1" customWidth="1"/>
  </cols>
  <sheetData>
    <row r="1" spans="1:6" ht="15.75">
      <c r="A1" s="258" t="s">
        <v>944</v>
      </c>
      <c r="B1" s="259"/>
      <c r="C1" s="260"/>
      <c r="D1" s="259"/>
      <c r="E1" s="259"/>
      <c r="F1" s="259"/>
    </row>
    <row r="2" spans="1:6" ht="13.5">
      <c r="A2" s="259" t="s">
        <v>945</v>
      </c>
      <c r="C2" s="261" t="s">
        <v>553</v>
      </c>
      <c r="D2" s="259"/>
      <c r="E2" s="259"/>
      <c r="F2" s="259"/>
    </row>
    <row r="3" spans="1:6">
      <c r="A3" s="259" t="s">
        <v>837</v>
      </c>
      <c r="B3" s="259" t="s">
        <v>491</v>
      </c>
      <c r="C3" s="262">
        <v>100</v>
      </c>
      <c r="D3" s="263" t="s">
        <v>553</v>
      </c>
      <c r="E3" s="259"/>
      <c r="F3" s="259"/>
    </row>
    <row r="4" spans="1:6">
      <c r="A4" s="259" t="s">
        <v>838</v>
      </c>
      <c r="B4" s="259" t="s">
        <v>839</v>
      </c>
      <c r="C4" s="259">
        <v>100</v>
      </c>
      <c r="D4" s="263" t="s">
        <v>553</v>
      </c>
      <c r="E4" s="259"/>
      <c r="F4" s="259"/>
    </row>
    <row r="5" spans="1:6" ht="14.25">
      <c r="A5" s="259" t="s">
        <v>840</v>
      </c>
      <c r="B5" s="205" t="s">
        <v>841</v>
      </c>
      <c r="C5" s="205">
        <v>0.04</v>
      </c>
      <c r="D5" s="263"/>
      <c r="E5" s="259"/>
      <c r="F5" s="259"/>
    </row>
    <row r="6" spans="1:6" ht="14.25">
      <c r="A6" s="259" t="s">
        <v>842</v>
      </c>
      <c r="B6" s="205" t="s">
        <v>843</v>
      </c>
      <c r="C6" s="205">
        <v>0.04</v>
      </c>
      <c r="D6" s="264"/>
      <c r="E6" s="259"/>
      <c r="F6" s="259"/>
    </row>
    <row r="7" spans="1:6" ht="14.25">
      <c r="A7" s="259" t="s">
        <v>844</v>
      </c>
      <c r="B7" s="205" t="s">
        <v>845</v>
      </c>
      <c r="C7" s="265">
        <v>0.4</v>
      </c>
      <c r="D7" s="264"/>
      <c r="E7" s="259"/>
      <c r="F7" s="259"/>
    </row>
    <row r="8" spans="1:6" ht="14.25">
      <c r="A8" s="259" t="s">
        <v>846</v>
      </c>
      <c r="B8" s="205" t="s">
        <v>847</v>
      </c>
      <c r="C8" s="265">
        <v>0.3</v>
      </c>
      <c r="D8" s="264"/>
      <c r="E8" s="259"/>
      <c r="F8" s="259"/>
    </row>
    <row r="9" spans="1:6">
      <c r="A9" s="259" t="s">
        <v>848</v>
      </c>
      <c r="B9" s="205" t="s">
        <v>849</v>
      </c>
      <c r="C9" s="265">
        <v>0.5</v>
      </c>
      <c r="D9" s="264"/>
      <c r="E9" s="259"/>
      <c r="F9" s="259"/>
    </row>
    <row r="10" spans="1:6">
      <c r="A10" s="259" t="s">
        <v>850</v>
      </c>
      <c r="B10" s="205" t="s">
        <v>2</v>
      </c>
      <c r="C10" s="205">
        <v>0.05</v>
      </c>
      <c r="D10" s="264"/>
      <c r="E10" s="259"/>
      <c r="F10" s="259"/>
    </row>
    <row r="11" spans="1:6" ht="14.25">
      <c r="A11" s="259" t="s">
        <v>851</v>
      </c>
      <c r="B11" s="205" t="s">
        <v>852</v>
      </c>
      <c r="C11" s="266">
        <v>50</v>
      </c>
      <c r="D11" s="264"/>
      <c r="E11" s="259"/>
      <c r="F11" s="259"/>
    </row>
    <row r="12" spans="1:6" ht="14.25">
      <c r="A12" s="259" t="s">
        <v>853</v>
      </c>
      <c r="B12" s="205" t="s">
        <v>854</v>
      </c>
      <c r="C12" s="266">
        <v>50</v>
      </c>
      <c r="D12" s="264"/>
      <c r="E12" s="259"/>
      <c r="F12" s="259"/>
    </row>
    <row r="13" spans="1:6" ht="14.25">
      <c r="A13" s="259" t="s">
        <v>855</v>
      </c>
      <c r="B13" s="205" t="s">
        <v>856</v>
      </c>
      <c r="C13" s="264">
        <v>50</v>
      </c>
      <c r="D13" s="264"/>
      <c r="E13" s="259"/>
      <c r="F13" s="259"/>
    </row>
    <row r="14" spans="1:6">
      <c r="A14" s="259" t="s">
        <v>553</v>
      </c>
      <c r="B14" s="205" t="s">
        <v>553</v>
      </c>
      <c r="C14" s="264" t="s">
        <v>553</v>
      </c>
      <c r="D14" s="264"/>
      <c r="E14" s="259"/>
      <c r="F14" s="259"/>
    </row>
    <row r="15" spans="1:6">
      <c r="A15" s="259" t="s">
        <v>859</v>
      </c>
      <c r="B15" s="259" t="s">
        <v>114</v>
      </c>
      <c r="C15" s="267">
        <f>(C3/C5-C11/C10)</f>
        <v>1500</v>
      </c>
      <c r="D15" s="264" t="s">
        <v>553</v>
      </c>
      <c r="E15" s="259"/>
      <c r="F15" s="259"/>
    </row>
    <row r="16" spans="1:6">
      <c r="A16" s="259" t="s">
        <v>861</v>
      </c>
      <c r="B16" s="259" t="s">
        <v>862</v>
      </c>
      <c r="C16" s="267">
        <f>(C4/C6-C12/C10)</f>
        <v>1500</v>
      </c>
      <c r="D16" s="264" t="s">
        <v>553</v>
      </c>
      <c r="E16" s="259"/>
      <c r="F16" s="259"/>
    </row>
    <row r="17" spans="1:6" ht="14.25">
      <c r="A17" s="259" t="s">
        <v>875</v>
      </c>
      <c r="B17" s="205" t="s">
        <v>865</v>
      </c>
      <c r="C17" s="268">
        <f>C3</f>
        <v>100</v>
      </c>
      <c r="D17" s="264"/>
      <c r="E17" s="259"/>
      <c r="F17" s="259"/>
    </row>
    <row r="18" spans="1:6">
      <c r="A18" s="259" t="s">
        <v>553</v>
      </c>
      <c r="B18" s="205" t="s">
        <v>553</v>
      </c>
      <c r="C18" s="268" t="s">
        <v>553</v>
      </c>
      <c r="D18" s="264"/>
      <c r="E18" s="259"/>
      <c r="F18" s="259"/>
    </row>
    <row r="19" spans="1:6">
      <c r="A19" s="259"/>
      <c r="B19" s="259" t="s">
        <v>868</v>
      </c>
      <c r="C19" s="259"/>
      <c r="D19" s="259" t="s">
        <v>869</v>
      </c>
      <c r="E19" s="259"/>
      <c r="F19" s="259"/>
    </row>
    <row r="20" spans="1:6" ht="14.25">
      <c r="A20" s="259" t="s">
        <v>870</v>
      </c>
      <c r="B20" s="269" t="s">
        <v>871</v>
      </c>
      <c r="C20" s="270">
        <f>C3/C5-C11/C10+C22*C3^C24*C4^C25</f>
        <v>2528.9789723615286</v>
      </c>
      <c r="D20" s="271">
        <f>C20-C15</f>
        <v>1028.9789723615286</v>
      </c>
      <c r="E20" s="259"/>
      <c r="F20" s="259"/>
    </row>
    <row r="21" spans="1:6" ht="14.25">
      <c r="A21" s="259" t="s">
        <v>872</v>
      </c>
      <c r="B21" s="269" t="s">
        <v>873</v>
      </c>
      <c r="C21" s="270">
        <f>C4/C6-C12/C10</f>
        <v>1500</v>
      </c>
      <c r="D21" s="267">
        <f>C21-C16</f>
        <v>0</v>
      </c>
      <c r="E21" s="259"/>
      <c r="F21" s="259"/>
    </row>
    <row r="22" spans="1:6">
      <c r="A22" s="259"/>
      <c r="B22" s="272" t="s">
        <v>609</v>
      </c>
      <c r="C22" s="273">
        <v>9.8943751168150254</v>
      </c>
      <c r="D22" s="274"/>
      <c r="E22" s="259"/>
      <c r="F22" s="259"/>
    </row>
    <row r="23" spans="1:6" ht="14.25">
      <c r="A23" s="259" t="s">
        <v>875</v>
      </c>
      <c r="B23" s="275" t="s">
        <v>876</v>
      </c>
      <c r="C23" s="276">
        <v>337.0434720702799</v>
      </c>
      <c r="D23" s="263"/>
      <c r="E23" s="259"/>
      <c r="F23" s="259"/>
    </row>
    <row r="24" spans="1:6" ht="14.25">
      <c r="A24" s="259" t="s">
        <v>878</v>
      </c>
      <c r="B24" s="275" t="s">
        <v>879</v>
      </c>
      <c r="C24" s="277">
        <v>-0.42545321136408187</v>
      </c>
      <c r="D24" s="278" t="s">
        <v>880</v>
      </c>
      <c r="E24" s="259"/>
      <c r="F24" s="259"/>
    </row>
    <row r="25" spans="1:6" ht="14.25">
      <c r="A25" s="259" t="s">
        <v>878</v>
      </c>
      <c r="B25" s="275" t="s">
        <v>881</v>
      </c>
      <c r="C25" s="277">
        <v>1.4339622756070207</v>
      </c>
      <c r="D25" s="278" t="s">
        <v>882</v>
      </c>
      <c r="E25" s="259"/>
      <c r="F25" s="259"/>
    </row>
    <row r="26" spans="1:6">
      <c r="A26" s="259"/>
      <c r="B26" s="259" t="s">
        <v>885</v>
      </c>
      <c r="C26" s="279"/>
      <c r="D26" s="267"/>
      <c r="E26" s="259"/>
      <c r="F26" s="259"/>
    </row>
    <row r="27" spans="1:6">
      <c r="A27" s="259" t="s">
        <v>886</v>
      </c>
      <c r="B27" s="272" t="s">
        <v>946</v>
      </c>
      <c r="C27" s="280">
        <f>(C22*C17^C24*C23^C25+C17/C5-C11/C10-C23/C6+C12/C10+C13)</f>
        <v>-8.5847204900346696E-8</v>
      </c>
      <c r="D27" s="267"/>
      <c r="E27" s="259"/>
      <c r="F27" s="259"/>
    </row>
    <row r="28" spans="1:6">
      <c r="A28" s="259" t="s">
        <v>890</v>
      </c>
      <c r="B28" s="272" t="s">
        <v>947</v>
      </c>
      <c r="C28" s="280">
        <f>(C24*C22*C17^(C24-1)*C23^C25+1/C5)</f>
        <v>-2.5087132371481857E-10</v>
      </c>
      <c r="D28" s="267"/>
      <c r="E28" s="259"/>
      <c r="F28" s="259"/>
    </row>
    <row r="29" spans="1:6">
      <c r="A29" s="259" t="s">
        <v>892</v>
      </c>
      <c r="B29" s="272" t="s">
        <v>948</v>
      </c>
      <c r="C29" s="280">
        <f>(C25*C22*C17^C24*C23^(C25-1)-1/C6)</f>
        <v>9.4203755907074083E-11</v>
      </c>
      <c r="D29" s="267"/>
      <c r="E29" s="259"/>
      <c r="F29" s="259"/>
    </row>
    <row r="30" spans="1:6">
      <c r="A30" s="259" t="s">
        <v>898</v>
      </c>
      <c r="B30" s="272" t="s">
        <v>795</v>
      </c>
      <c r="C30" s="280">
        <f>0.5*C7^2*C24*(C24-1)+0.5*C8^2*C25*(C25-1)+C9*C7*C8*C24*C25+C24*(C10-C5)+C25*(C10-C6)-C10</f>
        <v>6.5503158452884236E-15</v>
      </c>
      <c r="D30" s="267"/>
      <c r="E30" s="259"/>
      <c r="F30" s="259"/>
    </row>
    <row r="31" spans="1:6">
      <c r="A31" s="259"/>
      <c r="B31" s="259" t="s">
        <v>902</v>
      </c>
      <c r="C31" s="281">
        <f t="array" ref="C31">SUM(ABS(C27:C30))</f>
        <v>8.6192286530284434E-8</v>
      </c>
      <c r="D31" s="282" t="s">
        <v>553</v>
      </c>
      <c r="E31" s="259"/>
      <c r="F31" s="259"/>
    </row>
    <row r="32" spans="1:6">
      <c r="B32" s="272" t="s">
        <v>949</v>
      </c>
    </row>
    <row r="33" spans="1:3">
      <c r="A33" s="272" t="str">
        <f>B27</f>
        <v>EQ 19</v>
      </c>
      <c r="B33" s="280" t="s">
        <v>950</v>
      </c>
    </row>
    <row r="34" spans="1:3">
      <c r="A34" s="272" t="str">
        <f>B28</f>
        <v>EQ 20</v>
      </c>
      <c r="B34" s="280" t="s">
        <v>951</v>
      </c>
    </row>
    <row r="35" spans="1:3">
      <c r="A35" s="272" t="str">
        <f>B29</f>
        <v>EQ 21</v>
      </c>
      <c r="B35" s="280" t="s">
        <v>952</v>
      </c>
    </row>
    <row r="36" spans="1:3">
      <c r="A36" s="272" t="str">
        <f>B30</f>
        <v>EQ 22</v>
      </c>
      <c r="B36" s="293" t="s">
        <v>953</v>
      </c>
    </row>
    <row r="37" spans="1:3">
      <c r="A37" s="272" t="s">
        <v>921</v>
      </c>
      <c r="C37" s="112">
        <f>C23-C4</f>
        <v>237.0434720702799</v>
      </c>
    </row>
    <row r="38" spans="1:3" ht="14.25">
      <c r="A38" s="272" t="s">
        <v>922</v>
      </c>
      <c r="B38" s="294" t="s">
        <v>954</v>
      </c>
    </row>
    <row r="39" spans="1:3" ht="14.25">
      <c r="A39" s="272" t="s">
        <v>924</v>
      </c>
      <c r="B39" s="294" t="s">
        <v>955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1:F47"/>
  <sheetViews>
    <sheetView topLeftCell="A14" workbookViewId="0">
      <selection activeCell="C22" sqref="C22"/>
    </sheetView>
  </sheetViews>
  <sheetFormatPr defaultRowHeight="12.75"/>
  <cols>
    <col min="1" max="1" width="26.7109375" bestFit="1" customWidth="1"/>
  </cols>
  <sheetData>
    <row r="1" spans="1:6" ht="15.75">
      <c r="A1" s="258" t="s">
        <v>956</v>
      </c>
      <c r="B1" s="259"/>
      <c r="C1" s="260"/>
      <c r="D1" s="259"/>
      <c r="E1" s="259"/>
      <c r="F1" s="259"/>
    </row>
    <row r="2" spans="1:6" ht="13.5">
      <c r="A2" s="259"/>
      <c r="B2" s="259" t="s">
        <v>583</v>
      </c>
      <c r="C2" s="261"/>
      <c r="D2" s="259"/>
      <c r="E2" s="259" t="s">
        <v>553</v>
      </c>
      <c r="F2" s="259" t="s">
        <v>553</v>
      </c>
    </row>
    <row r="3" spans="1:6">
      <c r="A3" s="259" t="s">
        <v>69</v>
      </c>
      <c r="B3" s="259" t="s">
        <v>491</v>
      </c>
      <c r="C3" s="262">
        <v>100</v>
      </c>
      <c r="D3" s="263" t="s">
        <v>553</v>
      </c>
      <c r="E3" s="259"/>
      <c r="F3" s="259"/>
    </row>
    <row r="4" spans="1:6">
      <c r="A4" s="259" t="s">
        <v>53</v>
      </c>
      <c r="B4" s="259" t="s">
        <v>839</v>
      </c>
      <c r="C4" s="259">
        <v>50</v>
      </c>
      <c r="D4" s="263" t="s">
        <v>553</v>
      </c>
      <c r="E4" s="259"/>
      <c r="F4" s="259"/>
    </row>
    <row r="5" spans="1:6" ht="14.25">
      <c r="A5" s="259" t="s">
        <v>840</v>
      </c>
      <c r="B5" s="205" t="s">
        <v>841</v>
      </c>
      <c r="C5" s="205">
        <v>0.04</v>
      </c>
      <c r="D5" s="263"/>
      <c r="E5" s="259"/>
      <c r="F5" s="259"/>
    </row>
    <row r="6" spans="1:6" ht="14.25">
      <c r="A6" s="259" t="s">
        <v>842</v>
      </c>
      <c r="B6" s="205" t="s">
        <v>843</v>
      </c>
      <c r="C6" s="205">
        <v>0.04</v>
      </c>
      <c r="D6" s="264"/>
      <c r="E6" s="259"/>
      <c r="F6" s="259"/>
    </row>
    <row r="7" spans="1:6" ht="14.25">
      <c r="A7" s="259" t="s">
        <v>844</v>
      </c>
      <c r="B7" s="205" t="s">
        <v>845</v>
      </c>
      <c r="C7" s="265">
        <v>0.4</v>
      </c>
      <c r="D7" s="264"/>
      <c r="E7" s="259"/>
      <c r="F7" s="259"/>
    </row>
    <row r="8" spans="1:6" ht="14.25">
      <c r="A8" s="259" t="s">
        <v>846</v>
      </c>
      <c r="B8" s="205" t="s">
        <v>847</v>
      </c>
      <c r="C8" s="265">
        <v>0.3</v>
      </c>
      <c r="D8" s="264"/>
      <c r="E8" s="259"/>
      <c r="F8" s="259"/>
    </row>
    <row r="9" spans="1:6">
      <c r="A9" s="259" t="s">
        <v>848</v>
      </c>
      <c r="B9" s="205" t="s">
        <v>849</v>
      </c>
      <c r="C9" s="265">
        <v>0.5</v>
      </c>
      <c r="D9" s="264"/>
      <c r="E9" s="259"/>
      <c r="F9" s="259"/>
    </row>
    <row r="10" spans="1:6">
      <c r="A10" s="259" t="s">
        <v>850</v>
      </c>
      <c r="B10" s="205" t="s">
        <v>2</v>
      </c>
      <c r="C10" s="205">
        <v>0.05</v>
      </c>
      <c r="D10" s="264"/>
      <c r="E10" s="259"/>
      <c r="F10" s="259"/>
    </row>
    <row r="11" spans="1:6">
      <c r="A11" s="259" t="s">
        <v>553</v>
      </c>
      <c r="B11" s="205" t="s">
        <v>553</v>
      </c>
      <c r="C11" s="266" t="s">
        <v>553</v>
      </c>
      <c r="D11" s="264"/>
      <c r="E11" s="259"/>
      <c r="F11" s="259"/>
    </row>
    <row r="12" spans="1:6">
      <c r="A12" s="259" t="s">
        <v>553</v>
      </c>
      <c r="B12" s="205" t="s">
        <v>553</v>
      </c>
      <c r="C12" s="266" t="s">
        <v>553</v>
      </c>
      <c r="D12" s="264"/>
      <c r="E12" s="259"/>
      <c r="F12" s="259"/>
    </row>
    <row r="13" spans="1:6">
      <c r="A13" s="259" t="s">
        <v>553</v>
      </c>
      <c r="B13" s="205" t="s">
        <v>553</v>
      </c>
      <c r="C13" s="264" t="s">
        <v>553</v>
      </c>
      <c r="D13" s="264"/>
      <c r="E13" s="259"/>
      <c r="F13" s="259"/>
    </row>
    <row r="14" spans="1:6">
      <c r="A14" s="259" t="s">
        <v>553</v>
      </c>
      <c r="B14" s="205" t="s">
        <v>553</v>
      </c>
      <c r="C14" s="264" t="s">
        <v>553</v>
      </c>
      <c r="D14" s="264"/>
      <c r="E14" s="259"/>
      <c r="F14" s="259"/>
    </row>
    <row r="15" spans="1:6" ht="14.25">
      <c r="A15" s="259" t="s">
        <v>855</v>
      </c>
      <c r="B15" s="205" t="s">
        <v>856</v>
      </c>
      <c r="C15" s="264">
        <v>50</v>
      </c>
      <c r="D15" s="264"/>
      <c r="E15" s="259"/>
      <c r="F15" s="259"/>
    </row>
    <row r="16" spans="1:6" ht="14.25">
      <c r="A16" s="259" t="s">
        <v>857</v>
      </c>
      <c r="B16" s="205" t="s">
        <v>858</v>
      </c>
      <c r="C16" s="264">
        <v>70</v>
      </c>
      <c r="D16" s="264"/>
      <c r="E16" s="259"/>
      <c r="F16" s="259"/>
    </row>
    <row r="17" spans="1:6">
      <c r="A17" s="259" t="s">
        <v>553</v>
      </c>
      <c r="B17" s="259" t="s">
        <v>553</v>
      </c>
      <c r="C17" s="267" t="s">
        <v>553</v>
      </c>
      <c r="D17" s="264" t="s">
        <v>553</v>
      </c>
      <c r="E17" s="259"/>
      <c r="F17" s="259"/>
    </row>
    <row r="18" spans="1:6">
      <c r="A18" s="259" t="s">
        <v>553</v>
      </c>
      <c r="B18" s="259" t="s">
        <v>553</v>
      </c>
      <c r="C18" s="267" t="s">
        <v>553</v>
      </c>
      <c r="D18" s="264" t="s">
        <v>553</v>
      </c>
      <c r="E18" s="259"/>
      <c r="F18" s="259"/>
    </row>
    <row r="19" spans="1:6" ht="14.25">
      <c r="A19" s="259" t="s">
        <v>958</v>
      </c>
      <c r="B19" s="205" t="s">
        <v>865</v>
      </c>
      <c r="C19" s="268">
        <f>C3</f>
        <v>100</v>
      </c>
      <c r="D19" s="264"/>
      <c r="E19" s="259"/>
      <c r="F19" s="259"/>
    </row>
    <row r="20" spans="1:6" ht="14.25">
      <c r="A20" s="259" t="s">
        <v>959</v>
      </c>
      <c r="B20" s="205" t="s">
        <v>867</v>
      </c>
      <c r="C20" s="268">
        <f>C3</f>
        <v>100</v>
      </c>
      <c r="D20" s="264"/>
      <c r="E20" s="259"/>
      <c r="F20" s="259"/>
    </row>
    <row r="21" spans="1:6">
      <c r="A21" s="259"/>
      <c r="B21" s="259" t="s">
        <v>868</v>
      </c>
      <c r="C21" s="259"/>
      <c r="D21" s="259" t="s">
        <v>960</v>
      </c>
      <c r="E21" s="259" t="s">
        <v>961</v>
      </c>
      <c r="F21" s="259"/>
    </row>
    <row r="22" spans="1:6" ht="14.25">
      <c r="A22" s="259" t="s">
        <v>962</v>
      </c>
      <c r="B22" s="269" t="s">
        <v>871</v>
      </c>
      <c r="C22" s="295">
        <f>(C24*C3^C28*C4^C29+C3/C5-C4/C6)</f>
        <v>1718.2657420479586</v>
      </c>
      <c r="D22" s="295">
        <f>(C24*C19^C28*C4^C29)</f>
        <v>468.26574204795878</v>
      </c>
      <c r="E22" s="295">
        <f>C3/C5-C4/C6</f>
        <v>1250</v>
      </c>
      <c r="F22" s="259" t="s">
        <v>553</v>
      </c>
    </row>
    <row r="23" spans="1:6" ht="14.25">
      <c r="A23" s="259" t="s">
        <v>963</v>
      </c>
      <c r="B23" s="269" t="s">
        <v>873</v>
      </c>
      <c r="C23" s="295">
        <f>(C25*C3^C30*C4^C31)</f>
        <v>1649.1587624128756</v>
      </c>
      <c r="D23" s="295">
        <f>C23</f>
        <v>1649.1587624128756</v>
      </c>
      <c r="E23" s="295"/>
      <c r="F23" s="259" t="s">
        <v>553</v>
      </c>
    </row>
    <row r="24" spans="1:6">
      <c r="A24" s="259"/>
      <c r="B24" s="272" t="s">
        <v>609</v>
      </c>
      <c r="C24" s="294">
        <v>10.170394199038284</v>
      </c>
      <c r="D24" s="274"/>
      <c r="E24" s="259"/>
      <c r="F24" s="259"/>
    </row>
    <row r="25" spans="1:6">
      <c r="A25" s="259"/>
      <c r="B25" s="272" t="s">
        <v>874</v>
      </c>
      <c r="C25" s="294">
        <v>9.755269723969219</v>
      </c>
      <c r="D25" s="274"/>
      <c r="E25" s="259"/>
      <c r="F25" s="259"/>
    </row>
    <row r="26" spans="1:6" ht="14.25">
      <c r="A26" s="259" t="s">
        <v>958</v>
      </c>
      <c r="B26" s="275" t="s">
        <v>876</v>
      </c>
      <c r="C26" s="296">
        <v>150.21332482556244</v>
      </c>
      <c r="D26" s="263"/>
      <c r="E26" s="259"/>
      <c r="F26" s="259"/>
    </row>
    <row r="27" spans="1:6" ht="14.25">
      <c r="A27" s="259" t="s">
        <v>959</v>
      </c>
      <c r="B27" s="275" t="s">
        <v>877</v>
      </c>
      <c r="C27" s="296">
        <v>53.177653937553202</v>
      </c>
      <c r="D27" s="263"/>
      <c r="E27" s="259"/>
      <c r="F27" s="259"/>
    </row>
    <row r="28" spans="1:6" ht="14.25">
      <c r="A28" s="259" t="s">
        <v>878</v>
      </c>
      <c r="B28" s="275" t="s">
        <v>879</v>
      </c>
      <c r="C28" s="297">
        <v>-0.40116050791569402</v>
      </c>
      <c r="D28" s="278" t="s">
        <v>880</v>
      </c>
      <c r="E28" s="259"/>
      <c r="F28" s="259"/>
    </row>
    <row r="29" spans="1:6" ht="14.25">
      <c r="A29" s="259" t="s">
        <v>878</v>
      </c>
      <c r="B29" s="275" t="s">
        <v>881</v>
      </c>
      <c r="C29" s="297">
        <v>1.4511590019665843</v>
      </c>
      <c r="D29" s="278" t="s">
        <v>882</v>
      </c>
      <c r="E29" s="259"/>
      <c r="F29" s="259"/>
    </row>
    <row r="30" spans="1:6" ht="14.25">
      <c r="A30" s="259" t="s">
        <v>878</v>
      </c>
      <c r="B30" s="275" t="s">
        <v>883</v>
      </c>
      <c r="C30" s="297">
        <v>1.4228872754067297</v>
      </c>
      <c r="D30" s="278" t="s">
        <v>882</v>
      </c>
      <c r="E30" s="259"/>
      <c r="F30" s="259"/>
    </row>
    <row r="31" spans="1:6" ht="14.25">
      <c r="A31" s="259" t="s">
        <v>878</v>
      </c>
      <c r="B31" s="275" t="s">
        <v>884</v>
      </c>
      <c r="C31" s="297">
        <v>-0.3636034564065303</v>
      </c>
      <c r="D31" s="278" t="s">
        <v>880</v>
      </c>
      <c r="E31" s="259"/>
      <c r="F31" s="259"/>
    </row>
    <row r="32" spans="1:6">
      <c r="A32" s="259"/>
      <c r="B32" s="259" t="s">
        <v>885</v>
      </c>
      <c r="C32" s="279"/>
      <c r="D32" s="267"/>
      <c r="E32" s="259"/>
      <c r="F32" s="259"/>
    </row>
    <row r="33" spans="1:6">
      <c r="A33" s="259" t="s">
        <v>886</v>
      </c>
      <c r="B33" s="272" t="s">
        <v>964</v>
      </c>
      <c r="C33" s="280">
        <f>(C24*C19^C28*C26^C29+C19/C5-C26/C6-C25*C19^C30*C26^C31+C15)</f>
        <v>2.1339019440347329E-8</v>
      </c>
      <c r="D33" s="280" t="s">
        <v>965</v>
      </c>
      <c r="E33" s="259"/>
      <c r="F33" s="259"/>
    </row>
    <row r="34" spans="1:6">
      <c r="A34" s="259" t="s">
        <v>888</v>
      </c>
      <c r="B34" s="272" t="s">
        <v>966</v>
      </c>
      <c r="C34" s="280">
        <f>(C25*C20^C30*C27^C31-C24*C20^C28*C27^C29-C20/C5+C27/C6+C16)</f>
        <v>2.6533143682172522E-8</v>
      </c>
      <c r="D34" s="280" t="s">
        <v>967</v>
      </c>
      <c r="E34" s="259"/>
      <c r="F34" s="259"/>
    </row>
    <row r="35" spans="1:6">
      <c r="A35" s="259" t="s">
        <v>890</v>
      </c>
      <c r="B35" s="272" t="s">
        <v>968</v>
      </c>
      <c r="C35" s="280">
        <f>(C28*C24*(C19^(C28-1))*C26^C29+1/C5-C30*C25*(C19^(C30-1))*C26^C31)</f>
        <v>-5.0589221700647613E-10</v>
      </c>
      <c r="D35" s="280" t="s">
        <v>969</v>
      </c>
      <c r="E35" s="259"/>
      <c r="F35" s="259"/>
    </row>
    <row r="36" spans="1:6">
      <c r="A36" s="259" t="s">
        <v>892</v>
      </c>
      <c r="B36" s="272" t="s">
        <v>970</v>
      </c>
      <c r="C36" s="280">
        <f>(C29*C24*C19^C28*(C26^(C29-1))-1/C6-C31*C25*C19^C30*(C26^(C31-1)))</f>
        <v>5.7657834062752045E-10</v>
      </c>
      <c r="D36" s="280" t="s">
        <v>971</v>
      </c>
      <c r="E36" s="259"/>
      <c r="F36" s="259"/>
    </row>
    <row r="37" spans="1:6">
      <c r="A37" s="259" t="s">
        <v>894</v>
      </c>
      <c r="B37" s="272" t="s">
        <v>972</v>
      </c>
      <c r="C37" s="280">
        <f>(C30*C25*(C20^(C30-1))*C27^C31-C28*C24*(C20^(C28-1))*C27^C29-1/C5)</f>
        <v>4.6157211386343988E-10</v>
      </c>
      <c r="D37" s="280" t="s">
        <v>973</v>
      </c>
      <c r="E37" s="259"/>
      <c r="F37" s="259"/>
    </row>
    <row r="38" spans="1:6">
      <c r="A38" s="259" t="s">
        <v>896</v>
      </c>
      <c r="B38" s="272" t="s">
        <v>974</v>
      </c>
      <c r="C38" s="280">
        <f>(C31*C25*C20^C30*(C27^(C31-1))-C29*C24*C20^C28*(C27^(C29-1))+1/C6)</f>
        <v>-3.9038638988131424E-10</v>
      </c>
      <c r="D38" s="280" t="s">
        <v>975</v>
      </c>
      <c r="E38" s="259"/>
      <c r="F38" s="259"/>
    </row>
    <row r="39" spans="1:6">
      <c r="A39" s="259" t="s">
        <v>898</v>
      </c>
      <c r="B39" s="272" t="s">
        <v>810</v>
      </c>
      <c r="C39" s="280">
        <f>0.5*C7^2*C28*(C28-1)+0.5*C8^2*C29*(C29-1)+C9*C7*C8*C28*C29+C28*(C10-C5)+C29*(C10-C6)-C10</f>
        <v>9.3093588393600157E-13</v>
      </c>
      <c r="D39" s="267"/>
      <c r="E39" s="259"/>
      <c r="F39" s="259"/>
    </row>
    <row r="40" spans="1:6">
      <c r="A40" s="259" t="s">
        <v>900</v>
      </c>
      <c r="B40" s="272" t="s">
        <v>976</v>
      </c>
      <c r="C40" s="280">
        <f>0.5*C7^2*C30*(C30-1)+0.5*C8^2*C31*(C31-1)+C9*C7*C8*C30*C31+C30*(C10-C5)+C31*(C10-C6)-C10</f>
        <v>7.8617667931268898E-15</v>
      </c>
      <c r="D40" s="267"/>
      <c r="E40" s="259"/>
      <c r="F40" s="259"/>
    </row>
    <row r="41" spans="1:6">
      <c r="A41" s="259"/>
      <c r="B41" s="259" t="s">
        <v>902</v>
      </c>
      <c r="C41" s="281">
        <f>SUM(ABS(C33)+ABS(C34)+ABS(C35)+ABS(C36)+ABS(C37)+ABS(C38)+ABS(C39)+ABS(C40))</f>
        <v>4.9807530981549331E-8</v>
      </c>
      <c r="D41" s="282" t="s">
        <v>390</v>
      </c>
      <c r="E41" s="259"/>
      <c r="F41" s="259"/>
    </row>
    <row r="42" spans="1:6">
      <c r="A42" s="259"/>
      <c r="B42" s="259" t="s">
        <v>509</v>
      </c>
      <c r="C42" s="281"/>
      <c r="D42" s="282"/>
      <c r="E42" s="259"/>
      <c r="F42" s="259"/>
    </row>
    <row r="43" spans="1:6">
      <c r="B43" s="272" t="s">
        <v>921</v>
      </c>
      <c r="C43" s="393">
        <f>C26-C27</f>
        <v>97.035670888009236</v>
      </c>
    </row>
    <row r="44" spans="1:6">
      <c r="A44" s="272" t="s">
        <v>810</v>
      </c>
      <c r="B44" s="280" t="s">
        <v>919</v>
      </c>
    </row>
    <row r="45" spans="1:6">
      <c r="A45" s="272" t="s">
        <v>976</v>
      </c>
      <c r="B45" s="280" t="s">
        <v>920</v>
      </c>
    </row>
    <row r="46" spans="1:6" ht="14.25">
      <c r="A46" s="272" t="s">
        <v>932</v>
      </c>
      <c r="B46" s="273" t="s">
        <v>977</v>
      </c>
    </row>
    <row r="47" spans="1:6" ht="14.25">
      <c r="A47" s="272" t="s">
        <v>933</v>
      </c>
      <c r="B47" s="273" t="s">
        <v>978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1:K47"/>
  <sheetViews>
    <sheetView topLeftCell="A48" workbookViewId="0">
      <selection activeCell="G65" sqref="G65"/>
    </sheetView>
  </sheetViews>
  <sheetFormatPr defaultRowHeight="12.75"/>
  <cols>
    <col min="1" max="1" width="26.7109375" bestFit="1" customWidth="1"/>
    <col min="2" max="2" width="14.42578125" bestFit="1" customWidth="1"/>
  </cols>
  <sheetData>
    <row r="1" spans="1:11" ht="15.75">
      <c r="A1" s="258" t="s">
        <v>956</v>
      </c>
      <c r="B1" s="259"/>
      <c r="C1" s="260"/>
      <c r="D1" s="260"/>
      <c r="E1" s="260"/>
      <c r="F1" s="260"/>
      <c r="G1" s="260"/>
      <c r="H1" s="260"/>
      <c r="I1" s="259"/>
      <c r="J1" s="259"/>
      <c r="K1" s="259"/>
    </row>
    <row r="2" spans="1:11" ht="13.5">
      <c r="A2" s="259"/>
      <c r="B2" s="259" t="s">
        <v>583</v>
      </c>
      <c r="C2" s="261"/>
      <c r="D2" s="261"/>
      <c r="E2" s="261"/>
      <c r="F2" s="261"/>
      <c r="G2" s="261"/>
      <c r="H2" s="261"/>
      <c r="I2" s="259"/>
      <c r="J2" s="259" t="s">
        <v>957</v>
      </c>
      <c r="K2" s="259"/>
    </row>
    <row r="3" spans="1:11">
      <c r="A3" s="259" t="s">
        <v>69</v>
      </c>
      <c r="B3" s="259" t="s">
        <v>491</v>
      </c>
      <c r="C3" s="285">
        <v>100</v>
      </c>
      <c r="D3" s="285">
        <v>100</v>
      </c>
      <c r="E3" s="285">
        <v>100</v>
      </c>
      <c r="F3" s="285">
        <v>100</v>
      </c>
      <c r="G3" s="285">
        <v>100</v>
      </c>
      <c r="H3" s="285">
        <v>100</v>
      </c>
      <c r="I3" s="263" t="s">
        <v>553</v>
      </c>
      <c r="J3" s="259"/>
      <c r="K3" s="259"/>
    </row>
    <row r="4" spans="1:11">
      <c r="A4" s="259" t="s">
        <v>53</v>
      </c>
      <c r="B4" s="259" t="s">
        <v>839</v>
      </c>
      <c r="C4" s="259">
        <v>50</v>
      </c>
      <c r="D4" s="259">
        <v>50</v>
      </c>
      <c r="E4" s="259">
        <v>50</v>
      </c>
      <c r="F4" s="259">
        <v>50</v>
      </c>
      <c r="G4" s="259">
        <v>50</v>
      </c>
      <c r="H4" s="259">
        <v>50</v>
      </c>
      <c r="I4" s="263" t="s">
        <v>553</v>
      </c>
      <c r="J4" s="259"/>
      <c r="K4" s="259"/>
    </row>
    <row r="5" spans="1:11" ht="14.25">
      <c r="A5" s="259" t="s">
        <v>840</v>
      </c>
      <c r="B5" s="205" t="s">
        <v>841</v>
      </c>
      <c r="C5" s="205">
        <v>0.04</v>
      </c>
      <c r="D5" s="205">
        <v>0.04</v>
      </c>
      <c r="E5" s="205">
        <v>0.04</v>
      </c>
      <c r="F5" s="205">
        <v>0.04</v>
      </c>
      <c r="G5" s="205">
        <v>0.04</v>
      </c>
      <c r="H5" s="205">
        <v>0.04</v>
      </c>
      <c r="I5" s="263"/>
      <c r="J5" s="259"/>
      <c r="K5" s="259"/>
    </row>
    <row r="6" spans="1:11" ht="14.25">
      <c r="A6" s="259" t="s">
        <v>842</v>
      </c>
      <c r="B6" s="205" t="s">
        <v>843</v>
      </c>
      <c r="C6" s="205">
        <v>0.04</v>
      </c>
      <c r="D6" s="205">
        <v>0.04</v>
      </c>
      <c r="E6" s="205">
        <v>0.04</v>
      </c>
      <c r="F6" s="205">
        <v>0.04</v>
      </c>
      <c r="G6" s="205">
        <v>0.04</v>
      </c>
      <c r="H6" s="205">
        <v>0.04</v>
      </c>
      <c r="I6" s="264"/>
      <c r="J6" s="259"/>
      <c r="K6" s="259"/>
    </row>
    <row r="7" spans="1:11" ht="14.25">
      <c r="A7" s="259" t="s">
        <v>844</v>
      </c>
      <c r="B7" s="298" t="s">
        <v>979</v>
      </c>
      <c r="C7" s="299">
        <v>0.2</v>
      </c>
      <c r="D7" s="299">
        <f>C7+0.05</f>
        <v>0.25</v>
      </c>
      <c r="E7" s="299">
        <f>D7+0.05</f>
        <v>0.3</v>
      </c>
      <c r="F7" s="299">
        <f>E7+0.05</f>
        <v>0.35</v>
      </c>
      <c r="G7" s="299">
        <f>F7+0.05</f>
        <v>0.39999999999999997</v>
      </c>
      <c r="H7" s="299">
        <f>G7+0.05</f>
        <v>0.44999999999999996</v>
      </c>
      <c r="I7" s="264"/>
      <c r="J7" s="259"/>
      <c r="K7" s="259"/>
    </row>
    <row r="8" spans="1:11" ht="14.25">
      <c r="A8" s="259" t="s">
        <v>846</v>
      </c>
      <c r="B8" s="205" t="s">
        <v>847</v>
      </c>
      <c r="C8" s="265">
        <v>0.3</v>
      </c>
      <c r="D8" s="265">
        <v>0.3</v>
      </c>
      <c r="E8" s="265">
        <v>0.3</v>
      </c>
      <c r="F8" s="265">
        <v>0.3</v>
      </c>
      <c r="G8" s="265">
        <v>0.3</v>
      </c>
      <c r="H8" s="265">
        <v>0.3</v>
      </c>
      <c r="I8" s="264"/>
      <c r="J8" s="259"/>
      <c r="K8" s="259"/>
    </row>
    <row r="9" spans="1:11">
      <c r="A9" s="259" t="s">
        <v>848</v>
      </c>
      <c r="B9" s="205" t="s">
        <v>849</v>
      </c>
      <c r="C9" s="265">
        <v>0.5</v>
      </c>
      <c r="D9" s="265">
        <v>0.5</v>
      </c>
      <c r="E9" s="265">
        <v>0.5</v>
      </c>
      <c r="F9" s="265">
        <v>0.5</v>
      </c>
      <c r="G9" s="265">
        <v>0.5</v>
      </c>
      <c r="H9" s="265">
        <v>0.5</v>
      </c>
      <c r="I9" s="264"/>
      <c r="J9" s="259"/>
      <c r="K9" s="259"/>
    </row>
    <row r="10" spans="1:11">
      <c r="A10" s="259" t="s">
        <v>850</v>
      </c>
      <c r="B10" s="205" t="s">
        <v>2</v>
      </c>
      <c r="C10" s="205">
        <v>0.05</v>
      </c>
      <c r="D10" s="205">
        <v>0.05</v>
      </c>
      <c r="E10" s="205">
        <v>0.05</v>
      </c>
      <c r="F10" s="205">
        <v>0.05</v>
      </c>
      <c r="G10" s="205">
        <v>0.05</v>
      </c>
      <c r="H10" s="205">
        <v>0.05</v>
      </c>
      <c r="I10" s="264"/>
      <c r="J10" s="259"/>
      <c r="K10" s="259"/>
    </row>
    <row r="11" spans="1:11">
      <c r="A11" s="259" t="s">
        <v>553</v>
      </c>
      <c r="B11" s="205" t="s">
        <v>553</v>
      </c>
      <c r="C11" s="289" t="s">
        <v>553</v>
      </c>
      <c r="D11" s="289" t="s">
        <v>553</v>
      </c>
      <c r="E11" s="289" t="s">
        <v>553</v>
      </c>
      <c r="F11" s="289" t="s">
        <v>553</v>
      </c>
      <c r="G11" s="289" t="s">
        <v>553</v>
      </c>
      <c r="H11" s="289" t="s">
        <v>553</v>
      </c>
      <c r="I11" s="264"/>
      <c r="J11" s="259"/>
      <c r="K11" s="259"/>
    </row>
    <row r="12" spans="1:11">
      <c r="A12" s="259" t="s">
        <v>553</v>
      </c>
      <c r="B12" s="205" t="s">
        <v>553</v>
      </c>
      <c r="C12" s="289" t="s">
        <v>553</v>
      </c>
      <c r="D12" s="289" t="s">
        <v>553</v>
      </c>
      <c r="E12" s="289" t="s">
        <v>553</v>
      </c>
      <c r="F12" s="289" t="s">
        <v>553</v>
      </c>
      <c r="G12" s="289" t="s">
        <v>553</v>
      </c>
      <c r="H12" s="289" t="s">
        <v>553</v>
      </c>
      <c r="I12" s="264"/>
      <c r="J12" s="259"/>
      <c r="K12" s="259"/>
    </row>
    <row r="13" spans="1:11">
      <c r="A13" s="259" t="s">
        <v>553</v>
      </c>
      <c r="B13" s="205" t="s">
        <v>553</v>
      </c>
      <c r="C13" s="264" t="s">
        <v>553</v>
      </c>
      <c r="D13" s="264" t="s">
        <v>553</v>
      </c>
      <c r="E13" s="264" t="s">
        <v>553</v>
      </c>
      <c r="F13" s="264" t="s">
        <v>553</v>
      </c>
      <c r="G13" s="264" t="s">
        <v>553</v>
      </c>
      <c r="H13" s="264" t="s">
        <v>553</v>
      </c>
      <c r="I13" s="264"/>
      <c r="J13" s="259"/>
      <c r="K13" s="259"/>
    </row>
    <row r="14" spans="1:11">
      <c r="A14" s="259" t="s">
        <v>553</v>
      </c>
      <c r="B14" s="205" t="s">
        <v>553</v>
      </c>
      <c r="C14" s="264" t="s">
        <v>553</v>
      </c>
      <c r="D14" s="264" t="s">
        <v>553</v>
      </c>
      <c r="E14" s="264" t="s">
        <v>553</v>
      </c>
      <c r="F14" s="264" t="s">
        <v>553</v>
      </c>
      <c r="G14" s="264" t="s">
        <v>553</v>
      </c>
      <c r="H14" s="264" t="s">
        <v>553</v>
      </c>
      <c r="I14" s="264"/>
      <c r="J14" s="259"/>
      <c r="K14" s="259"/>
    </row>
    <row r="15" spans="1:11" ht="14.25">
      <c r="A15" s="259" t="s">
        <v>855</v>
      </c>
      <c r="B15" s="205" t="s">
        <v>856</v>
      </c>
      <c r="C15" s="264">
        <v>50</v>
      </c>
      <c r="D15" s="264">
        <v>50</v>
      </c>
      <c r="E15" s="264">
        <v>50</v>
      </c>
      <c r="F15" s="264">
        <v>50</v>
      </c>
      <c r="G15" s="264">
        <v>50</v>
      </c>
      <c r="H15" s="264">
        <v>50</v>
      </c>
      <c r="I15" s="264"/>
      <c r="J15" s="259"/>
      <c r="K15" s="259"/>
    </row>
    <row r="16" spans="1:11" ht="14.25">
      <c r="A16" s="259" t="s">
        <v>857</v>
      </c>
      <c r="B16" s="205" t="s">
        <v>858</v>
      </c>
      <c r="C16" s="264">
        <v>70</v>
      </c>
      <c r="D16" s="264">
        <v>70</v>
      </c>
      <c r="E16" s="264">
        <v>70</v>
      </c>
      <c r="F16" s="264">
        <v>70</v>
      </c>
      <c r="G16" s="264">
        <v>70</v>
      </c>
      <c r="H16" s="264">
        <v>70</v>
      </c>
      <c r="I16" s="264"/>
      <c r="J16" s="259"/>
      <c r="K16" s="259"/>
    </row>
    <row r="17" spans="1:11">
      <c r="A17" s="259" t="s">
        <v>553</v>
      </c>
      <c r="B17" s="259" t="s">
        <v>553</v>
      </c>
      <c r="C17" s="267" t="s">
        <v>553</v>
      </c>
      <c r="D17" s="267" t="s">
        <v>553</v>
      </c>
      <c r="E17" s="267" t="s">
        <v>553</v>
      </c>
      <c r="F17" s="267" t="s">
        <v>553</v>
      </c>
      <c r="G17" s="267" t="s">
        <v>553</v>
      </c>
      <c r="H17" s="267" t="s">
        <v>553</v>
      </c>
      <c r="I17" s="264" t="s">
        <v>553</v>
      </c>
      <c r="J17" s="259"/>
      <c r="K17" s="259"/>
    </row>
    <row r="18" spans="1:11">
      <c r="A18" s="259" t="s">
        <v>553</v>
      </c>
      <c r="B18" s="259" t="s">
        <v>553</v>
      </c>
      <c r="C18" s="267" t="s">
        <v>553</v>
      </c>
      <c r="D18" s="267" t="s">
        <v>553</v>
      </c>
      <c r="E18" s="267" t="s">
        <v>553</v>
      </c>
      <c r="F18" s="267" t="s">
        <v>553</v>
      </c>
      <c r="G18" s="267" t="s">
        <v>553</v>
      </c>
      <c r="H18" s="267" t="s">
        <v>553</v>
      </c>
      <c r="I18" s="264" t="s">
        <v>553</v>
      </c>
      <c r="J18" s="259"/>
      <c r="K18" s="259"/>
    </row>
    <row r="19" spans="1:11" ht="14.25">
      <c r="A19" s="259" t="s">
        <v>958</v>
      </c>
      <c r="B19" s="205" t="s">
        <v>865</v>
      </c>
      <c r="C19" s="268">
        <f t="shared" ref="C19:H19" si="0">C3</f>
        <v>100</v>
      </c>
      <c r="D19" s="268">
        <f t="shared" si="0"/>
        <v>100</v>
      </c>
      <c r="E19" s="268">
        <f t="shared" si="0"/>
        <v>100</v>
      </c>
      <c r="F19" s="268">
        <f t="shared" si="0"/>
        <v>100</v>
      </c>
      <c r="G19" s="268">
        <f t="shared" si="0"/>
        <v>100</v>
      </c>
      <c r="H19" s="268">
        <f t="shared" si="0"/>
        <v>100</v>
      </c>
      <c r="I19" s="264"/>
      <c r="J19" s="259"/>
      <c r="K19" s="259"/>
    </row>
    <row r="20" spans="1:11" ht="14.25">
      <c r="A20" s="259" t="s">
        <v>959</v>
      </c>
      <c r="B20" s="205" t="s">
        <v>867</v>
      </c>
      <c r="C20" s="268">
        <f t="shared" ref="C20:H20" si="1">C3</f>
        <v>100</v>
      </c>
      <c r="D20" s="268">
        <f t="shared" si="1"/>
        <v>100</v>
      </c>
      <c r="E20" s="268">
        <f t="shared" si="1"/>
        <v>100</v>
      </c>
      <c r="F20" s="268">
        <f t="shared" si="1"/>
        <v>100</v>
      </c>
      <c r="G20" s="268">
        <f t="shared" si="1"/>
        <v>100</v>
      </c>
      <c r="H20" s="268">
        <f t="shared" si="1"/>
        <v>100</v>
      </c>
      <c r="I20" s="264"/>
      <c r="J20" s="259"/>
      <c r="K20" s="259"/>
    </row>
    <row r="21" spans="1:11">
      <c r="A21" s="259"/>
      <c r="B21" s="259" t="s">
        <v>868</v>
      </c>
      <c r="C21" s="259"/>
      <c r="D21" s="259"/>
      <c r="E21" s="259"/>
      <c r="F21" s="259"/>
      <c r="G21" s="259"/>
      <c r="H21" s="259"/>
      <c r="I21" s="259" t="s">
        <v>553</v>
      </c>
      <c r="J21" s="259" t="s">
        <v>961</v>
      </c>
      <c r="K21" s="259"/>
    </row>
    <row r="22" spans="1:11" ht="14.25">
      <c r="A22" s="259" t="s">
        <v>962</v>
      </c>
      <c r="B22" s="272" t="s">
        <v>932</v>
      </c>
      <c r="C22" s="273">
        <f t="shared" ref="C22:H22" si="2">(C24*C3^C28*C4^C29+C3/C5-C4/C6)</f>
        <v>1561.256507650497</v>
      </c>
      <c r="D22" s="273">
        <f t="shared" si="2"/>
        <v>1584.9158081538708</v>
      </c>
      <c r="E22" s="273">
        <f t="shared" si="2"/>
        <v>1621.3253773670776</v>
      </c>
      <c r="F22" s="273">
        <f t="shared" si="2"/>
        <v>1666.9849632337482</v>
      </c>
      <c r="G22" s="273">
        <f t="shared" si="2"/>
        <v>1718.2657420447299</v>
      </c>
      <c r="H22" s="273">
        <f t="shared" si="2"/>
        <v>1771.9811703104833</v>
      </c>
      <c r="I22" s="273" t="s">
        <v>553</v>
      </c>
      <c r="J22" s="273">
        <f>(C3/C5-C4/C6)</f>
        <v>1250</v>
      </c>
      <c r="K22" s="259" t="s">
        <v>961</v>
      </c>
    </row>
    <row r="23" spans="1:11" ht="14.25">
      <c r="A23" s="259" t="s">
        <v>963</v>
      </c>
      <c r="B23" s="272" t="s">
        <v>933</v>
      </c>
      <c r="C23" s="273">
        <f t="shared" ref="C23:H23" si="3">(C25*C3^C30*C4^C31)</f>
        <v>1524.887035459931</v>
      </c>
      <c r="D23" s="273">
        <f t="shared" si="3"/>
        <v>1537.1859293434161</v>
      </c>
      <c r="E23" s="273">
        <f t="shared" si="3"/>
        <v>1563.1853621768337</v>
      </c>
      <c r="F23" s="273">
        <f t="shared" si="3"/>
        <v>1601.6192836739663</v>
      </c>
      <c r="G23" s="273">
        <f t="shared" si="3"/>
        <v>1649.1587623818425</v>
      </c>
      <c r="H23" s="273">
        <f t="shared" si="3"/>
        <v>1702.0013956782354</v>
      </c>
      <c r="I23" s="273" t="s">
        <v>553</v>
      </c>
      <c r="J23" s="273"/>
      <c r="K23" s="259" t="s">
        <v>980</v>
      </c>
    </row>
    <row r="24" spans="1:11">
      <c r="A24" s="259"/>
      <c r="B24" s="272" t="s">
        <v>609</v>
      </c>
      <c r="C24" s="294">
        <v>7.7156966919684038</v>
      </c>
      <c r="D24" s="294">
        <v>8.0885305942243146</v>
      </c>
      <c r="E24" s="294">
        <v>8.6629346232044337</v>
      </c>
      <c r="F24" s="294">
        <v>9.3770360592542907</v>
      </c>
      <c r="G24" s="294">
        <v>10.170394199213698</v>
      </c>
      <c r="H24" s="294">
        <v>10.992757861935086</v>
      </c>
      <c r="I24" s="274"/>
      <c r="J24" s="259"/>
      <c r="K24" s="259"/>
    </row>
    <row r="25" spans="1:11">
      <c r="A25" s="259"/>
      <c r="B25" s="272" t="s">
        <v>874</v>
      </c>
      <c r="C25" s="294">
        <v>6.8763144764881954</v>
      </c>
      <c r="D25" s="294">
        <v>7.354348634904265</v>
      </c>
      <c r="E25" s="294">
        <v>8.0388657846008993</v>
      </c>
      <c r="F25" s="294">
        <v>8.8604185784926575</v>
      </c>
      <c r="G25" s="294">
        <v>9.755269723805128</v>
      </c>
      <c r="H25" s="294">
        <v>10.672886008779129</v>
      </c>
      <c r="I25" s="274"/>
      <c r="J25" s="259"/>
      <c r="K25" s="259"/>
    </row>
    <row r="26" spans="1:11" ht="14.25">
      <c r="A26" s="259" t="s">
        <v>958</v>
      </c>
      <c r="B26" s="275" t="s">
        <v>876</v>
      </c>
      <c r="C26" s="300">
        <v>150.68752557070565</v>
      </c>
      <c r="D26" s="300">
        <v>149.95501570136264</v>
      </c>
      <c r="E26" s="300">
        <v>149.723960569773</v>
      </c>
      <c r="F26" s="300">
        <v>149.86094090533024</v>
      </c>
      <c r="G26" s="300">
        <v>150.21332482666492</v>
      </c>
      <c r="H26" s="300">
        <v>150.63945361872669</v>
      </c>
      <c r="I26" s="263"/>
      <c r="J26" s="259"/>
      <c r="K26" s="259"/>
    </row>
    <row r="27" spans="1:11" ht="14.25">
      <c r="A27" s="259" t="s">
        <v>959</v>
      </c>
      <c r="B27" s="275" t="s">
        <v>877</v>
      </c>
      <c r="C27" s="300">
        <v>65.915954627342614</v>
      </c>
      <c r="D27" s="300">
        <v>63.442574538796713</v>
      </c>
      <c r="E27" s="300">
        <v>60.323043388991188</v>
      </c>
      <c r="F27" s="300">
        <v>56.832333429345212</v>
      </c>
      <c r="G27" s="300">
        <v>53.177653937499912</v>
      </c>
      <c r="H27" s="300">
        <v>49.49462697087408</v>
      </c>
      <c r="I27" s="263"/>
      <c r="J27" s="259"/>
      <c r="K27" s="259"/>
    </row>
    <row r="28" spans="1:11" ht="14.25">
      <c r="A28" s="259" t="s">
        <v>878</v>
      </c>
      <c r="B28" s="275" t="s">
        <v>879</v>
      </c>
      <c r="C28" s="297">
        <v>-0.61636091834787432</v>
      </c>
      <c r="D28" s="297">
        <v>-0.57700780854461042</v>
      </c>
      <c r="E28" s="297">
        <v>-0.52155511722474657</v>
      </c>
      <c r="F28" s="297">
        <v>-0.46049234542688067</v>
      </c>
      <c r="G28" s="297">
        <v>-0.401160507911967</v>
      </c>
      <c r="H28" s="297">
        <v>-0.34736835639231334</v>
      </c>
      <c r="I28" s="278" t="s">
        <v>880</v>
      </c>
      <c r="J28" s="259"/>
      <c r="K28" s="259"/>
    </row>
    <row r="29" spans="1:11" ht="14.25">
      <c r="A29" s="259" t="s">
        <v>878</v>
      </c>
      <c r="B29" s="275" t="s">
        <v>881</v>
      </c>
      <c r="C29" s="297">
        <v>1.6706976125373192</v>
      </c>
      <c r="D29" s="297">
        <v>1.631036230415478</v>
      </c>
      <c r="E29" s="297">
        <v>1.5746009769426761</v>
      </c>
      <c r="F29" s="297">
        <v>1.5121158657949076</v>
      </c>
      <c r="G29" s="297">
        <v>1.4511590019560254</v>
      </c>
      <c r="H29" s="297">
        <v>1.3957191013655612</v>
      </c>
      <c r="I29" s="278" t="s">
        <v>882</v>
      </c>
      <c r="J29" s="259"/>
      <c r="K29" s="259"/>
    </row>
    <row r="30" spans="1:11" ht="14.25">
      <c r="A30" s="259" t="s">
        <v>878</v>
      </c>
      <c r="B30" s="275" t="s">
        <v>883</v>
      </c>
      <c r="C30" s="297">
        <v>1.7206772543824838</v>
      </c>
      <c r="D30" s="297">
        <v>1.6557406472339677</v>
      </c>
      <c r="E30" s="297">
        <v>1.5762505867928527</v>
      </c>
      <c r="F30" s="297">
        <v>1.496050870178568</v>
      </c>
      <c r="G30" s="297">
        <v>1.4228872754067396</v>
      </c>
      <c r="H30" s="297">
        <v>1.3596195696618014</v>
      </c>
      <c r="I30" s="278" t="s">
        <v>882</v>
      </c>
      <c r="J30" s="259"/>
      <c r="K30" s="259"/>
    </row>
    <row r="31" spans="1:11" ht="14.25">
      <c r="A31" s="259" t="s">
        <v>878</v>
      </c>
      <c r="B31" s="275" t="s">
        <v>884</v>
      </c>
      <c r="C31" s="297">
        <v>-0.64478629056053427</v>
      </c>
      <c r="D31" s="297">
        <v>-0.58347063533696142</v>
      </c>
      <c r="E31" s="297">
        <v>-0.50835828153991014</v>
      </c>
      <c r="F31" s="297">
        <v>-0.43261310582744289</v>
      </c>
      <c r="G31" s="297">
        <v>-0.36360345640705249</v>
      </c>
      <c r="H31" s="297">
        <v>-0.30404368359437833</v>
      </c>
      <c r="I31" s="278" t="s">
        <v>880</v>
      </c>
      <c r="J31" s="259"/>
      <c r="K31" s="259"/>
    </row>
    <row r="32" spans="1:11">
      <c r="A32" s="259"/>
      <c r="B32" s="259" t="s">
        <v>885</v>
      </c>
      <c r="C32" s="279"/>
      <c r="D32" s="279"/>
      <c r="E32" s="279"/>
      <c r="F32" s="279"/>
      <c r="G32" s="279"/>
      <c r="H32" s="279"/>
      <c r="I32" s="267"/>
      <c r="J32" s="259"/>
      <c r="K32" s="259"/>
    </row>
    <row r="33" spans="1:11">
      <c r="A33" s="259" t="s">
        <v>886</v>
      </c>
      <c r="B33" s="272" t="s">
        <v>887</v>
      </c>
      <c r="C33" s="280">
        <f t="shared" ref="C33:H33" si="4">(C24*C19^C28*C26^C29+C19/C5-C26/C6-C25*C19^C30*C26^C31+C15)</f>
        <v>4.4766352402803022E-8</v>
      </c>
      <c r="D33" s="280">
        <f t="shared" si="4"/>
        <v>-1.1368683772161603E-12</v>
      </c>
      <c r="E33" s="280">
        <f t="shared" si="4"/>
        <v>-1.2505552149377763E-12</v>
      </c>
      <c r="F33" s="280">
        <f t="shared" si="4"/>
        <v>4.0927261579781771E-12</v>
      </c>
      <c r="G33" s="280">
        <f t="shared" si="4"/>
        <v>-1.1368683772161603E-12</v>
      </c>
      <c r="H33" s="280">
        <f t="shared" si="4"/>
        <v>2.7284841053187847E-12</v>
      </c>
      <c r="I33" s="280" t="s">
        <v>965</v>
      </c>
      <c r="J33" s="259"/>
      <c r="K33" s="259"/>
    </row>
    <row r="34" spans="1:11">
      <c r="A34" s="259" t="s">
        <v>888</v>
      </c>
      <c r="B34" s="272" t="s">
        <v>889</v>
      </c>
      <c r="C34" s="280">
        <f t="shared" ref="C34:H34" si="5">(C25*C20^C30*C27^C31-C24*C20^C28*C27^C29-C20/C5+C27/C6+C16)</f>
        <v>-7.9801793617662042E-8</v>
      </c>
      <c r="D34" s="280">
        <f t="shared" si="5"/>
        <v>0</v>
      </c>
      <c r="E34" s="280">
        <f t="shared" si="5"/>
        <v>-1.5916157281026244E-12</v>
      </c>
      <c r="F34" s="280">
        <f t="shared" si="5"/>
        <v>0</v>
      </c>
      <c r="G34" s="280">
        <f t="shared" si="5"/>
        <v>-2.2737367544323206E-13</v>
      </c>
      <c r="H34" s="280">
        <f t="shared" si="5"/>
        <v>-2.2737367544323206E-13</v>
      </c>
      <c r="I34" s="280" t="s">
        <v>967</v>
      </c>
      <c r="J34" s="259"/>
      <c r="K34" s="259"/>
    </row>
    <row r="35" spans="1:11">
      <c r="A35" s="259" t="s">
        <v>890</v>
      </c>
      <c r="B35" s="272" t="s">
        <v>891</v>
      </c>
      <c r="C35" s="280">
        <f t="shared" ref="C35:H35" si="6">(C28*C24*(C19^(C28-1))*C26^C29+1/C5-C30*C25*(C19^(C30-1))*C26^C31)</f>
        <v>3.5394620567785751E-10</v>
      </c>
      <c r="D35" s="280">
        <f t="shared" si="6"/>
        <v>0</v>
      </c>
      <c r="E35" s="280">
        <f t="shared" si="6"/>
        <v>1.0658141036401503E-14</v>
      </c>
      <c r="F35" s="280">
        <f t="shared" si="6"/>
        <v>3.5527136788005009E-15</v>
      </c>
      <c r="G35" s="280">
        <f t="shared" si="6"/>
        <v>1.4210854715202004E-14</v>
      </c>
      <c r="H35" s="280">
        <f t="shared" si="6"/>
        <v>-7.1054273576010019E-15</v>
      </c>
      <c r="I35" s="280" t="s">
        <v>969</v>
      </c>
      <c r="J35" s="259"/>
      <c r="K35" s="259"/>
    </row>
    <row r="36" spans="1:11">
      <c r="A36" s="259" t="s">
        <v>892</v>
      </c>
      <c r="B36" s="272" t="s">
        <v>893</v>
      </c>
      <c r="C36" s="280">
        <f t="shared" ref="C36:H36" si="7">(C29*C24*C19^C28*(C26^(C29-1))-1/C6-C31*C25*C19^C30*(C26^(C31-1)))</f>
        <v>-3.8600811436140248E-10</v>
      </c>
      <c r="D36" s="280">
        <f t="shared" si="7"/>
        <v>-2.2204460492503131E-15</v>
      </c>
      <c r="E36" s="280">
        <f t="shared" si="7"/>
        <v>-1.3322676295501878E-15</v>
      </c>
      <c r="F36" s="280">
        <f t="shared" si="7"/>
        <v>1.865174681370263E-14</v>
      </c>
      <c r="G36" s="280">
        <f t="shared" si="7"/>
        <v>1.3322676295501878E-15</v>
      </c>
      <c r="H36" s="280">
        <f t="shared" si="7"/>
        <v>1.8207657603852567E-14</v>
      </c>
      <c r="I36" s="280" t="s">
        <v>971</v>
      </c>
      <c r="J36" s="259"/>
      <c r="K36" s="259"/>
    </row>
    <row r="37" spans="1:11">
      <c r="A37" s="259" t="s">
        <v>894</v>
      </c>
      <c r="B37" s="272" t="s">
        <v>895</v>
      </c>
      <c r="C37" s="280">
        <f t="shared" ref="C37:H37" si="8">(C30*C25*(C20^(C30-1))*C27^C31-C28*C24*(C20^(C28-1))*C27^C29-1/C5)</f>
        <v>-1.5972005940056988E-9</v>
      </c>
      <c r="D37" s="280">
        <f t="shared" si="8"/>
        <v>7.1054273576010019E-15</v>
      </c>
      <c r="E37" s="280">
        <f t="shared" si="8"/>
        <v>-7.1054273576010019E-15</v>
      </c>
      <c r="F37" s="280">
        <f t="shared" si="8"/>
        <v>-3.5527136788005009E-15</v>
      </c>
      <c r="G37" s="280">
        <f t="shared" si="8"/>
        <v>-7.1054273576010019E-15</v>
      </c>
      <c r="H37" s="280">
        <f t="shared" si="8"/>
        <v>0</v>
      </c>
      <c r="I37" s="280" t="s">
        <v>973</v>
      </c>
      <c r="J37" s="259"/>
      <c r="K37" s="259"/>
    </row>
    <row r="38" spans="1:11">
      <c r="A38" s="259" t="s">
        <v>896</v>
      </c>
      <c r="B38" s="272" t="s">
        <v>897</v>
      </c>
      <c r="C38" s="280">
        <f t="shared" ref="C38:H38" si="9">(C31*C25*C20^C30*(C27^(C31-1))-C29*C24*C20^C28*(C27^(C29-1))+1/C6)</f>
        <v>2.252306785521796E-9</v>
      </c>
      <c r="D38" s="280">
        <f t="shared" si="9"/>
        <v>7.1054273576010019E-15</v>
      </c>
      <c r="E38" s="280">
        <f t="shared" si="9"/>
        <v>7.1054273576010019E-15</v>
      </c>
      <c r="F38" s="280">
        <f t="shared" si="9"/>
        <v>-2.1316282072803006E-14</v>
      </c>
      <c r="G38" s="280">
        <f t="shared" si="9"/>
        <v>-7.1054273576010019E-15</v>
      </c>
      <c r="H38" s="280">
        <f t="shared" si="9"/>
        <v>-7.1054273576010019E-15</v>
      </c>
      <c r="I38" s="280" t="s">
        <v>975</v>
      </c>
      <c r="J38" s="259"/>
      <c r="K38" s="259"/>
    </row>
    <row r="39" spans="1:11">
      <c r="A39" s="259" t="s">
        <v>898</v>
      </c>
      <c r="B39" s="272" t="s">
        <v>899</v>
      </c>
      <c r="C39" s="280">
        <f t="shared" ref="C39:H39" si="10">0.5*C7^2*C28*(C28-1)+0.5*C8^2*C29*(C29-1)+C9*C7*C8*C28*C29+C28*(C10-C5)+C29*(C10-C6)-C10</f>
        <v>-1.4239304180208023E-13</v>
      </c>
      <c r="D39" s="280">
        <f t="shared" si="10"/>
        <v>0</v>
      </c>
      <c r="E39" s="280">
        <f t="shared" si="10"/>
        <v>0</v>
      </c>
      <c r="F39" s="280">
        <f t="shared" si="10"/>
        <v>0</v>
      </c>
      <c r="G39" s="280">
        <f t="shared" si="10"/>
        <v>0</v>
      </c>
      <c r="H39" s="280">
        <f t="shared" si="10"/>
        <v>0</v>
      </c>
      <c r="I39" s="267"/>
      <c r="J39" s="259"/>
      <c r="K39" s="259"/>
    </row>
    <row r="40" spans="1:11">
      <c r="A40" s="259" t="s">
        <v>900</v>
      </c>
      <c r="B40" s="272" t="s">
        <v>901</v>
      </c>
      <c r="C40" s="280">
        <f t="shared" ref="C40:H40" si="11">0.5*C7^2*C30*(C30-1)+0.5*C8^2*C31*(C31-1)+C9*C7*C8*C30*C31+C30*(C10-C5)+C31*(C10-C6)-C10</f>
        <v>-1.0966227925734984E-13</v>
      </c>
      <c r="D40" s="280">
        <f t="shared" si="11"/>
        <v>0</v>
      </c>
      <c r="E40" s="280">
        <f t="shared" si="11"/>
        <v>0</v>
      </c>
      <c r="F40" s="280">
        <f t="shared" si="11"/>
        <v>0</v>
      </c>
      <c r="G40" s="280">
        <f t="shared" si="11"/>
        <v>0</v>
      </c>
      <c r="H40" s="280">
        <f t="shared" si="11"/>
        <v>0</v>
      </c>
      <c r="I40" s="267"/>
      <c r="J40" s="259"/>
      <c r="K40" s="259"/>
    </row>
    <row r="41" spans="1:11">
      <c r="A41" s="259"/>
      <c r="B41" s="259" t="s">
        <v>902</v>
      </c>
      <c r="C41" s="301">
        <f t="shared" ref="C41:H41" si="12">SUM(ABS(C33)+ABS(C34)+ABS(C35)+ABS(C36)+ABS(C37)+ABS(C38)+ABS(C39)+ABS(C40))</f>
        <v>1.2915785977535288E-7</v>
      </c>
      <c r="D41" s="301">
        <f t="shared" si="12"/>
        <v>1.1532996779806126E-12</v>
      </c>
      <c r="E41" s="301">
        <f t="shared" si="12"/>
        <v>2.8683722064215544E-12</v>
      </c>
      <c r="F41" s="301">
        <f t="shared" si="12"/>
        <v>4.1397996142222837E-12</v>
      </c>
      <c r="G41" s="301">
        <f t="shared" si="12"/>
        <v>1.3939960297193466E-12</v>
      </c>
      <c r="H41" s="301">
        <f t="shared" si="12"/>
        <v>2.9882762930810713E-12</v>
      </c>
      <c r="I41" s="291">
        <f t="array" ref="I41">SUM(ABS(C41:H41))</f>
        <v>1.291704035191743E-7</v>
      </c>
      <c r="J41" s="259"/>
      <c r="K41" s="259"/>
    </row>
    <row r="42" spans="1:11">
      <c r="B42" s="272" t="s">
        <v>981</v>
      </c>
    </row>
    <row r="43" spans="1:11">
      <c r="A43" s="272" t="s">
        <v>899</v>
      </c>
      <c r="B43" s="280" t="s">
        <v>919</v>
      </c>
    </row>
    <row r="44" spans="1:11">
      <c r="A44" s="272" t="s">
        <v>901</v>
      </c>
      <c r="B44" s="280" t="s">
        <v>920</v>
      </c>
    </row>
    <row r="45" spans="1:11" ht="14.25">
      <c r="B45" s="272" t="s">
        <v>934</v>
      </c>
      <c r="C45" s="83">
        <f t="shared" ref="C45:H45" si="13">C26-C27</f>
        <v>84.771570943363031</v>
      </c>
      <c r="D45" s="83">
        <f t="shared" si="13"/>
        <v>86.512441162565921</v>
      </c>
      <c r="E45" s="83">
        <f t="shared" si="13"/>
        <v>89.400917180781818</v>
      </c>
      <c r="F45" s="83">
        <f t="shared" si="13"/>
        <v>93.028607475985027</v>
      </c>
      <c r="G45" s="83">
        <f t="shared" si="13"/>
        <v>97.035670889165004</v>
      </c>
      <c r="H45" s="83">
        <f t="shared" si="13"/>
        <v>101.14482664785261</v>
      </c>
    </row>
    <row r="46" spans="1:11" ht="14.25">
      <c r="A46" s="272" t="s">
        <v>932</v>
      </c>
      <c r="B46" s="273" t="s">
        <v>982</v>
      </c>
    </row>
    <row r="47" spans="1:11" ht="14.25">
      <c r="A47" s="272" t="s">
        <v>933</v>
      </c>
      <c r="B47" s="273" t="s">
        <v>983</v>
      </c>
    </row>
  </sheetData>
  <pageMargins left="0.7" right="0.7" top="0.75" bottom="0.75" header="0.3" footer="0.3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>
  <dimension ref="A1:F31"/>
  <sheetViews>
    <sheetView topLeftCell="A8" workbookViewId="0">
      <selection activeCell="C14" sqref="C14"/>
    </sheetView>
  </sheetViews>
  <sheetFormatPr defaultRowHeight="12.75"/>
  <cols>
    <col min="1" max="1" width="26.7109375" bestFit="1" customWidth="1"/>
  </cols>
  <sheetData>
    <row r="1" spans="1:6" ht="15.75">
      <c r="A1" s="258" t="s">
        <v>984</v>
      </c>
      <c r="B1" s="259"/>
      <c r="C1" s="260"/>
      <c r="D1" s="259"/>
      <c r="E1" s="259"/>
      <c r="F1" s="259"/>
    </row>
    <row r="2" spans="1:6" ht="13.5">
      <c r="A2" s="259"/>
      <c r="B2" s="259" t="s">
        <v>583</v>
      </c>
      <c r="C2" s="261"/>
      <c r="D2" s="259"/>
      <c r="E2" s="259" t="s">
        <v>553</v>
      </c>
      <c r="F2" s="259"/>
    </row>
    <row r="3" spans="1:6">
      <c r="A3" s="259" t="s">
        <v>69</v>
      </c>
      <c r="B3" s="259" t="s">
        <v>491</v>
      </c>
      <c r="C3" s="262">
        <v>100</v>
      </c>
      <c r="D3" s="263" t="s">
        <v>553</v>
      </c>
      <c r="E3" s="259"/>
      <c r="F3" s="259"/>
    </row>
    <row r="4" spans="1:6">
      <c r="A4" s="259" t="s">
        <v>53</v>
      </c>
      <c r="B4" s="259" t="s">
        <v>839</v>
      </c>
      <c r="C4" s="259">
        <v>50</v>
      </c>
      <c r="D4" s="263" t="s">
        <v>553</v>
      </c>
      <c r="E4" s="259"/>
      <c r="F4" s="259"/>
    </row>
    <row r="5" spans="1:6" ht="14.25">
      <c r="A5" s="259" t="s">
        <v>840</v>
      </c>
      <c r="B5" s="205" t="s">
        <v>841</v>
      </c>
      <c r="C5" s="205">
        <v>0.04</v>
      </c>
      <c r="D5" s="263"/>
      <c r="E5" s="259"/>
      <c r="F5" s="259"/>
    </row>
    <row r="6" spans="1:6" ht="14.25">
      <c r="A6" s="259" t="s">
        <v>842</v>
      </c>
      <c r="B6" s="205" t="s">
        <v>843</v>
      </c>
      <c r="C6" s="205">
        <v>0.04</v>
      </c>
      <c r="D6" s="264"/>
      <c r="E6" s="259"/>
      <c r="F6" s="259"/>
    </row>
    <row r="7" spans="1:6" ht="14.25">
      <c r="A7" s="259" t="s">
        <v>844</v>
      </c>
      <c r="B7" s="205" t="s">
        <v>845</v>
      </c>
      <c r="C7" s="265">
        <v>0.4</v>
      </c>
      <c r="D7" s="264"/>
      <c r="E7" s="259"/>
      <c r="F7" s="259"/>
    </row>
    <row r="8" spans="1:6" ht="14.25">
      <c r="A8" s="259" t="s">
        <v>846</v>
      </c>
      <c r="B8" s="205" t="s">
        <v>847</v>
      </c>
      <c r="C8" s="265">
        <v>0.3</v>
      </c>
      <c r="D8" s="264"/>
      <c r="E8" s="259"/>
      <c r="F8" s="259"/>
    </row>
    <row r="9" spans="1:6">
      <c r="A9" s="259" t="s">
        <v>848</v>
      </c>
      <c r="B9" s="205" t="s">
        <v>849</v>
      </c>
      <c r="C9" s="265">
        <v>0.5</v>
      </c>
      <c r="D9" s="264"/>
      <c r="E9" s="259"/>
      <c r="F9" s="259"/>
    </row>
    <row r="10" spans="1:6">
      <c r="A10" s="259" t="s">
        <v>850</v>
      </c>
      <c r="B10" s="205" t="s">
        <v>2</v>
      </c>
      <c r="C10" s="205">
        <v>0.05</v>
      </c>
      <c r="D10" s="264"/>
      <c r="E10" s="259"/>
      <c r="F10" s="259"/>
    </row>
    <row r="11" spans="1:6" ht="14.25">
      <c r="A11" s="259" t="s">
        <v>855</v>
      </c>
      <c r="B11" s="205" t="s">
        <v>856</v>
      </c>
      <c r="C11" s="264">
        <v>50</v>
      </c>
      <c r="D11" s="264"/>
      <c r="E11" s="259"/>
      <c r="F11" s="259"/>
    </row>
    <row r="12" spans="1:6" ht="14.25">
      <c r="A12" s="259" t="s">
        <v>958</v>
      </c>
      <c r="B12" s="205" t="s">
        <v>865</v>
      </c>
      <c r="C12" s="268">
        <f>C3</f>
        <v>100</v>
      </c>
      <c r="D12" s="264"/>
      <c r="E12" s="259"/>
      <c r="F12" s="259"/>
    </row>
    <row r="13" spans="1:6">
      <c r="A13" s="259"/>
      <c r="B13" s="259" t="s">
        <v>868</v>
      </c>
      <c r="C13" s="259"/>
      <c r="D13" s="259" t="s">
        <v>960</v>
      </c>
      <c r="E13" s="259" t="s">
        <v>961</v>
      </c>
      <c r="F13" s="259"/>
    </row>
    <row r="14" spans="1:6" ht="14.25">
      <c r="A14" s="259" t="s">
        <v>962</v>
      </c>
      <c r="B14" s="269" t="s">
        <v>871</v>
      </c>
      <c r="C14" s="295">
        <f>(C15*C3^C17*C4^C18+C3/C5-C4/C6)</f>
        <v>1630.8384967733155</v>
      </c>
      <c r="D14" s="295">
        <f>(C15*C3^C17*C4^C18)</f>
        <v>380.83849677331563</v>
      </c>
      <c r="E14" s="295">
        <f>C3/C5-C4/C6</f>
        <v>1250</v>
      </c>
      <c r="F14" s="259" t="s">
        <v>553</v>
      </c>
    </row>
    <row r="15" spans="1:6">
      <c r="A15" s="259"/>
      <c r="B15" s="272" t="s">
        <v>609</v>
      </c>
      <c r="C15" s="294">
        <v>9.8943751169548797</v>
      </c>
      <c r="D15" s="274"/>
      <c r="E15" s="259"/>
      <c r="F15" s="259"/>
    </row>
    <row r="16" spans="1:6" ht="14.25">
      <c r="A16" s="259" t="s">
        <v>958</v>
      </c>
      <c r="B16" s="275" t="s">
        <v>876</v>
      </c>
      <c r="C16" s="296">
        <v>337.04347206128</v>
      </c>
      <c r="D16" s="263"/>
      <c r="E16" s="259"/>
      <c r="F16" s="259"/>
    </row>
    <row r="17" spans="1:6" ht="14.25">
      <c r="A17" s="259" t="s">
        <v>878</v>
      </c>
      <c r="B17" s="275" t="s">
        <v>879</v>
      </c>
      <c r="C17" s="297">
        <v>-0.42545321137122605</v>
      </c>
      <c r="D17" s="278" t="s">
        <v>880</v>
      </c>
      <c r="E17" s="259"/>
      <c r="F17" s="259"/>
    </row>
    <row r="18" spans="1:6" ht="14.25">
      <c r="A18" s="259" t="s">
        <v>878</v>
      </c>
      <c r="B18" s="275" t="s">
        <v>881</v>
      </c>
      <c r="C18" s="297">
        <v>1.4339622756218222</v>
      </c>
      <c r="D18" s="278" t="s">
        <v>882</v>
      </c>
      <c r="E18" s="259"/>
      <c r="F18" s="259"/>
    </row>
    <row r="19" spans="1:6">
      <c r="A19" s="259"/>
      <c r="B19" s="259" t="s">
        <v>885</v>
      </c>
      <c r="C19" s="279"/>
      <c r="D19" s="267"/>
      <c r="E19" s="259"/>
      <c r="F19" s="259"/>
    </row>
    <row r="20" spans="1:6">
      <c r="A20" s="259" t="s">
        <v>886</v>
      </c>
      <c r="B20" s="272" t="s">
        <v>985</v>
      </c>
      <c r="C20" s="280">
        <f>(C15*C12^C17*C16^C18+C12/C5-C16/C6+C11)</f>
        <v>3.101049514953047E-7</v>
      </c>
      <c r="D20" s="280" t="s">
        <v>553</v>
      </c>
      <c r="E20" s="259"/>
      <c r="F20" s="259"/>
    </row>
    <row r="21" spans="1:6">
      <c r="A21" s="259" t="s">
        <v>890</v>
      </c>
      <c r="B21" s="272" t="s">
        <v>986</v>
      </c>
      <c r="C21" s="280">
        <f>(C17*C15*(C12^(C17-1))*C16^C18+1/C5)</f>
        <v>-1.3980070434627123E-9</v>
      </c>
      <c r="D21" s="280" t="s">
        <v>553</v>
      </c>
      <c r="E21" s="259"/>
      <c r="F21" s="259"/>
    </row>
    <row r="22" spans="1:6">
      <c r="A22" s="259" t="s">
        <v>892</v>
      </c>
      <c r="B22" s="272" t="s">
        <v>987</v>
      </c>
      <c r="C22" s="280">
        <f>(C18*C15*C12^C17*(C16^(C18-1))-1/C6)</f>
        <v>1.7471144531100435E-9</v>
      </c>
      <c r="D22" s="280" t="s">
        <v>553</v>
      </c>
      <c r="E22" s="259"/>
      <c r="F22" s="259"/>
    </row>
    <row r="23" spans="1:6">
      <c r="A23" s="259" t="s">
        <v>898</v>
      </c>
      <c r="B23" s="272" t="s">
        <v>988</v>
      </c>
      <c r="C23" s="280">
        <f>0.5*C7^2*C17*(C17-1)+0.5*C8^2*C18*(C18-1)+C9*C7*C8*C17*C18+C17*(C10-C5)+C18*(C10-C6)-C10</f>
        <v>1.3926221287263729E-12</v>
      </c>
      <c r="D23" s="267"/>
      <c r="E23" s="259"/>
      <c r="F23" s="259"/>
    </row>
    <row r="24" spans="1:6">
      <c r="A24" s="259"/>
      <c r="B24" s="259" t="s">
        <v>902</v>
      </c>
      <c r="C24" s="281">
        <f t="array" ref="C24">SUM(ABS(C20:C23))</f>
        <v>3.1325146561400619E-7</v>
      </c>
      <c r="D24" s="282" t="s">
        <v>390</v>
      </c>
      <c r="E24" s="259"/>
      <c r="F24" s="259"/>
    </row>
    <row r="25" spans="1:6">
      <c r="A25" s="259"/>
      <c r="B25" s="259" t="s">
        <v>989</v>
      </c>
      <c r="C25" s="281"/>
      <c r="D25" s="282"/>
      <c r="E25" s="259"/>
      <c r="F25" s="259"/>
    </row>
    <row r="26" spans="1:6">
      <c r="A26" s="272" t="s">
        <v>921</v>
      </c>
      <c r="C26" s="393">
        <f>C16-C4</f>
        <v>287.04347206128</v>
      </c>
    </row>
    <row r="27" spans="1:6" ht="14.25">
      <c r="A27" s="272" t="s">
        <v>932</v>
      </c>
      <c r="B27" s="273" t="s">
        <v>990</v>
      </c>
    </row>
    <row r="28" spans="1:6">
      <c r="A28" t="str">
        <f>B20</f>
        <v>EQ 35</v>
      </c>
      <c r="B28" s="280" t="s">
        <v>991</v>
      </c>
    </row>
    <row r="29" spans="1:6">
      <c r="A29" t="str">
        <f>B21</f>
        <v>EQ 36</v>
      </c>
      <c r="B29" s="280" t="s">
        <v>992</v>
      </c>
    </row>
    <row r="30" spans="1:6">
      <c r="A30" t="str">
        <f>B22</f>
        <v>EQ 37</v>
      </c>
      <c r="B30" s="280" t="s">
        <v>993</v>
      </c>
    </row>
    <row r="31" spans="1:6">
      <c r="A31" t="str">
        <f>B23</f>
        <v>EQ 38</v>
      </c>
      <c r="B31" s="293" t="s">
        <v>994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selection sqref="A1:I53"/>
    </sheetView>
  </sheetViews>
  <sheetFormatPr defaultRowHeight="12.75"/>
  <cols>
    <col min="1" max="1" width="26.7109375" bestFit="1" customWidth="1"/>
    <col min="3" max="3" width="12.42578125" bestFit="1" customWidth="1"/>
  </cols>
  <sheetData>
    <row r="1" spans="1:7" ht="15.75">
      <c r="A1" s="258" t="s">
        <v>1500</v>
      </c>
      <c r="B1" s="259"/>
      <c r="C1" s="260"/>
      <c r="D1" s="259"/>
      <c r="E1" s="259"/>
      <c r="F1" s="259"/>
    </row>
    <row r="2" spans="1:7" ht="13.5">
      <c r="A2" s="259"/>
      <c r="B2" s="259" t="s">
        <v>553</v>
      </c>
      <c r="C2" s="261" t="s">
        <v>553</v>
      </c>
      <c r="D2" s="259"/>
      <c r="E2" s="259"/>
      <c r="F2" s="259"/>
      <c r="G2" s="259"/>
    </row>
    <row r="3" spans="1:7">
      <c r="A3" s="259" t="s">
        <v>1463</v>
      </c>
      <c r="B3" s="259" t="s">
        <v>491</v>
      </c>
      <c r="C3" s="262">
        <v>50</v>
      </c>
      <c r="D3" s="263" t="s">
        <v>553</v>
      </c>
      <c r="E3" s="259"/>
      <c r="F3" s="259"/>
      <c r="G3" s="259"/>
    </row>
    <row r="4" spans="1:7">
      <c r="A4" s="259" t="s">
        <v>1464</v>
      </c>
      <c r="B4" s="259" t="s">
        <v>839</v>
      </c>
      <c r="C4" s="259">
        <v>50</v>
      </c>
      <c r="D4" s="263" t="s">
        <v>553</v>
      </c>
      <c r="E4" s="259"/>
      <c r="F4" s="259"/>
      <c r="G4" s="259"/>
    </row>
    <row r="5" spans="1:7" ht="14.25">
      <c r="A5" s="259" t="s">
        <v>840</v>
      </c>
      <c r="B5" s="205" t="s">
        <v>841</v>
      </c>
      <c r="C5" s="205">
        <v>0.04</v>
      </c>
      <c r="D5" s="263"/>
      <c r="E5" s="259"/>
      <c r="F5" s="259"/>
      <c r="G5" s="259"/>
    </row>
    <row r="6" spans="1:7" ht="14.25">
      <c r="A6" s="259" t="s">
        <v>842</v>
      </c>
      <c r="B6" s="205" t="s">
        <v>843</v>
      </c>
      <c r="C6" s="205">
        <v>0.04</v>
      </c>
      <c r="D6" s="264"/>
      <c r="E6" s="259"/>
      <c r="F6" s="259"/>
      <c r="G6" s="259"/>
    </row>
    <row r="7" spans="1:7" ht="14.25">
      <c r="A7" s="259" t="s">
        <v>844</v>
      </c>
      <c r="B7" s="205" t="s">
        <v>845</v>
      </c>
      <c r="C7" s="265">
        <v>0.4</v>
      </c>
      <c r="D7" s="264"/>
      <c r="E7" s="259"/>
      <c r="F7" s="259"/>
      <c r="G7" s="259"/>
    </row>
    <row r="8" spans="1:7" ht="14.25">
      <c r="A8" s="259" t="s">
        <v>846</v>
      </c>
      <c r="B8" s="205" t="s">
        <v>847</v>
      </c>
      <c r="C8" s="265">
        <v>0.3</v>
      </c>
      <c r="D8" s="264"/>
      <c r="E8" s="259"/>
      <c r="F8" s="259"/>
      <c r="G8" s="259"/>
    </row>
    <row r="9" spans="1:7">
      <c r="A9" s="259" t="s">
        <v>848</v>
      </c>
      <c r="B9" s="205" t="s">
        <v>849</v>
      </c>
      <c r="C9" s="265">
        <v>0.5</v>
      </c>
      <c r="D9" s="264"/>
      <c r="E9" s="259"/>
      <c r="F9" s="259"/>
      <c r="G9" s="259"/>
    </row>
    <row r="10" spans="1:7">
      <c r="A10" s="259" t="s">
        <v>850</v>
      </c>
      <c r="B10" s="205" t="s">
        <v>2</v>
      </c>
      <c r="C10" s="205">
        <v>0.05</v>
      </c>
      <c r="D10" s="264"/>
      <c r="E10" s="259"/>
      <c r="F10" s="259"/>
      <c r="G10" s="259"/>
    </row>
    <row r="11" spans="1:7" ht="14.25">
      <c r="A11" s="259" t="s">
        <v>1465</v>
      </c>
      <c r="B11" s="205" t="s">
        <v>1466</v>
      </c>
      <c r="C11" s="266">
        <v>100</v>
      </c>
      <c r="D11" s="264"/>
      <c r="E11" s="259"/>
      <c r="F11" s="259"/>
      <c r="G11" s="259"/>
    </row>
    <row r="12" spans="1:7" ht="14.25">
      <c r="A12" s="259" t="s">
        <v>1467</v>
      </c>
      <c r="B12" s="205" t="s">
        <v>1468</v>
      </c>
      <c r="C12" s="266">
        <v>100</v>
      </c>
      <c r="D12" s="264"/>
      <c r="E12" s="259"/>
      <c r="F12" s="259"/>
      <c r="G12" s="259"/>
    </row>
    <row r="13" spans="1:7">
      <c r="A13" s="259" t="s">
        <v>553</v>
      </c>
      <c r="B13" s="205" t="s">
        <v>553</v>
      </c>
      <c r="C13" s="264" t="s">
        <v>553</v>
      </c>
      <c r="D13" s="264"/>
      <c r="E13" s="259"/>
      <c r="F13" s="259"/>
      <c r="G13" s="259"/>
    </row>
    <row r="14" spans="1:7">
      <c r="A14" s="259" t="s">
        <v>553</v>
      </c>
      <c r="B14" s="205" t="s">
        <v>553</v>
      </c>
      <c r="C14" s="264" t="s">
        <v>553</v>
      </c>
      <c r="D14" s="264"/>
      <c r="E14" s="259"/>
      <c r="F14" s="259"/>
      <c r="G14" s="259"/>
    </row>
    <row r="15" spans="1:7" ht="14.25">
      <c r="A15" s="259" t="s">
        <v>855</v>
      </c>
      <c r="B15" s="205" t="s">
        <v>856</v>
      </c>
      <c r="C15" s="264">
        <v>50</v>
      </c>
      <c r="D15" s="264"/>
      <c r="E15" s="259"/>
      <c r="F15" s="259"/>
      <c r="G15" s="259"/>
    </row>
    <row r="16" spans="1:7" ht="14.25">
      <c r="A16" s="259" t="s">
        <v>857</v>
      </c>
      <c r="B16" s="205" t="s">
        <v>858</v>
      </c>
      <c r="C16" s="264">
        <v>70</v>
      </c>
      <c r="D16" s="264"/>
      <c r="E16" s="259"/>
      <c r="F16" s="259"/>
      <c r="G16" s="259"/>
    </row>
    <row r="17" spans="1:7">
      <c r="A17" s="259" t="s">
        <v>1469</v>
      </c>
      <c r="B17" s="259" t="s">
        <v>114</v>
      </c>
      <c r="C17" s="267">
        <f>(-C3/C5+C11/C10)</f>
        <v>750</v>
      </c>
      <c r="D17" s="264" t="s">
        <v>553</v>
      </c>
      <c r="E17" s="259"/>
      <c r="F17" s="259"/>
      <c r="G17" s="259"/>
    </row>
    <row r="18" spans="1:7">
      <c r="A18" s="259" t="s">
        <v>1470</v>
      </c>
      <c r="B18" s="259" t="s">
        <v>862</v>
      </c>
      <c r="C18" s="267">
        <f>(-C4/C6+C12/C10)</f>
        <v>750</v>
      </c>
      <c r="D18" s="264" t="s">
        <v>553</v>
      </c>
      <c r="E18" s="259"/>
      <c r="F18" s="259"/>
      <c r="G18" s="259"/>
    </row>
    <row r="19" spans="1:7" ht="14.25">
      <c r="A19" s="259" t="s">
        <v>864</v>
      </c>
      <c r="B19" s="205" t="s">
        <v>865</v>
      </c>
      <c r="C19" s="268">
        <f>C3</f>
        <v>50</v>
      </c>
      <c r="D19" s="264"/>
      <c r="E19" s="259"/>
      <c r="F19" s="259"/>
      <c r="G19" s="259"/>
    </row>
    <row r="20" spans="1:7" ht="14.25">
      <c r="A20" s="259" t="s">
        <v>866</v>
      </c>
      <c r="B20" s="205" t="s">
        <v>867</v>
      </c>
      <c r="C20" s="268">
        <v>50</v>
      </c>
      <c r="D20" s="264"/>
      <c r="E20" s="259"/>
      <c r="F20" s="259"/>
      <c r="G20" s="259"/>
    </row>
    <row r="21" spans="1:7">
      <c r="A21" s="259"/>
      <c r="B21" s="259" t="s">
        <v>868</v>
      </c>
      <c r="C21" s="259"/>
      <c r="D21" s="259" t="s">
        <v>869</v>
      </c>
      <c r="E21" s="259"/>
      <c r="F21" s="259"/>
      <c r="G21" s="259"/>
    </row>
    <row r="22" spans="1:7" ht="14.25">
      <c r="A22" s="259" t="s">
        <v>870</v>
      </c>
      <c r="B22" s="269" t="s">
        <v>871</v>
      </c>
      <c r="C22" s="386">
        <f>-C3/C5+C11/C10+C24*C3^C28*C4^C29</f>
        <v>1380.6640239830922</v>
      </c>
      <c r="D22" s="271">
        <f>C22-C17</f>
        <v>630.66402398309219</v>
      </c>
      <c r="E22" s="259"/>
      <c r="F22" s="259"/>
      <c r="G22" s="259"/>
    </row>
    <row r="23" spans="1:7" ht="14.25">
      <c r="A23" s="259" t="s">
        <v>872</v>
      </c>
      <c r="B23" s="269" t="s">
        <v>873</v>
      </c>
      <c r="C23" s="386">
        <f>-C4/C6+C12/C10+C25*C3^C30*C4^C31</f>
        <v>1362.140937218443</v>
      </c>
      <c r="D23" s="271">
        <f>C23-C18</f>
        <v>612.14093721844301</v>
      </c>
      <c r="E23" s="259"/>
      <c r="F23" s="259"/>
      <c r="G23" s="259"/>
    </row>
    <row r="24" spans="1:7">
      <c r="A24" s="259"/>
      <c r="B24" s="272" t="s">
        <v>609</v>
      </c>
      <c r="C24" s="273">
        <v>9.2471220458728194</v>
      </c>
      <c r="D24" s="274"/>
      <c r="E24" s="259"/>
      <c r="F24" s="259"/>
      <c r="G24" s="259"/>
    </row>
    <row r="25" spans="1:7">
      <c r="A25" s="259"/>
      <c r="B25" s="272" t="s">
        <v>874</v>
      </c>
      <c r="C25" s="273">
        <v>8.78741089736398</v>
      </c>
      <c r="D25" s="274"/>
      <c r="E25" s="259"/>
      <c r="F25" s="259"/>
      <c r="G25" s="259"/>
    </row>
    <row r="26" spans="1:7" ht="14.25">
      <c r="A26" s="259" t="s">
        <v>875</v>
      </c>
      <c r="B26" s="275" t="s">
        <v>876</v>
      </c>
      <c r="C26" s="276">
        <v>22.285131313079983</v>
      </c>
      <c r="D26" s="263"/>
      <c r="E26" s="259"/>
      <c r="F26" s="259"/>
      <c r="G26" s="259"/>
    </row>
    <row r="27" spans="1:7" ht="14.25">
      <c r="A27" s="259" t="s">
        <v>1471</v>
      </c>
      <c r="B27" s="275" t="s">
        <v>877</v>
      </c>
      <c r="C27" s="276">
        <v>84.482978770777891</v>
      </c>
      <c r="D27" s="263"/>
      <c r="E27" s="259"/>
      <c r="F27" s="259"/>
      <c r="G27" s="259"/>
    </row>
    <row r="28" spans="1:7" ht="14.25">
      <c r="A28" s="259" t="s">
        <v>878</v>
      </c>
      <c r="B28" s="275" t="s">
        <v>879</v>
      </c>
      <c r="C28" s="279">
        <v>1.4197152472970274</v>
      </c>
      <c r="D28" s="278" t="s">
        <v>882</v>
      </c>
      <c r="E28" s="259"/>
      <c r="F28" s="259" t="s">
        <v>553</v>
      </c>
      <c r="G28" s="259" t="s">
        <v>553</v>
      </c>
    </row>
    <row r="29" spans="1:7" ht="14.25">
      <c r="A29" s="259" t="s">
        <v>878</v>
      </c>
      <c r="B29" s="275" t="s">
        <v>881</v>
      </c>
      <c r="C29" s="279">
        <v>-0.34036042452706922</v>
      </c>
      <c r="D29" s="278" t="s">
        <v>880</v>
      </c>
      <c r="E29" s="259"/>
      <c r="F29" s="259" t="s">
        <v>553</v>
      </c>
      <c r="G29" s="259" t="s">
        <v>553</v>
      </c>
    </row>
    <row r="30" spans="1:7" ht="14.25">
      <c r="A30" s="259" t="s">
        <v>878</v>
      </c>
      <c r="B30" s="275" t="s">
        <v>883</v>
      </c>
      <c r="C30" s="279">
        <v>-0.37967462466286722</v>
      </c>
      <c r="D30" s="278" t="s">
        <v>880</v>
      </c>
      <c r="E30" s="259"/>
      <c r="F30" s="259" t="s">
        <v>553</v>
      </c>
      <c r="G30" s="259" t="s">
        <v>553</v>
      </c>
    </row>
    <row r="31" spans="1:7" ht="14.25">
      <c r="A31" s="259" t="s">
        <v>878</v>
      </c>
      <c r="B31" s="275" t="s">
        <v>884</v>
      </c>
      <c r="C31" s="279">
        <v>1.4644439172517001</v>
      </c>
      <c r="D31" s="278" t="s">
        <v>882</v>
      </c>
      <c r="E31" s="259"/>
      <c r="F31" s="259" t="s">
        <v>553</v>
      </c>
      <c r="G31" s="259" t="s">
        <v>553</v>
      </c>
    </row>
    <row r="32" spans="1:7">
      <c r="A32" s="259"/>
      <c r="B32" s="259" t="s">
        <v>885</v>
      </c>
      <c r="C32" s="279"/>
      <c r="D32" s="267"/>
      <c r="E32" s="259"/>
      <c r="F32" s="259"/>
      <c r="G32" s="259"/>
    </row>
    <row r="33" spans="1:6">
      <c r="A33" s="259" t="s">
        <v>886</v>
      </c>
      <c r="B33" s="272" t="s">
        <v>1472</v>
      </c>
      <c r="C33" s="279">
        <f>(C24*C19^C28*C26^C29-C19/C5+C11/C10-C25*C19^C30*C26^C31+C26/C6-C12/C10+C15)</f>
        <v>-3.1284344004234299E-8</v>
      </c>
      <c r="E33" s="259"/>
      <c r="F33" s="259"/>
    </row>
    <row r="34" spans="1:6">
      <c r="A34" s="259" t="s">
        <v>888</v>
      </c>
      <c r="B34" s="272" t="s">
        <v>1473</v>
      </c>
      <c r="C34" s="279">
        <f>(C24*C20^C28*C27^C29-C20/C5+C11/C10-C25*C20^C30*C27^C31+C27/C6-C12/C10-C16)</f>
        <v>-6.4638152252882719E-7</v>
      </c>
      <c r="E34" s="259"/>
      <c r="F34" s="259"/>
    </row>
    <row r="35" spans="1:6">
      <c r="A35" s="259" t="s">
        <v>890</v>
      </c>
      <c r="B35" s="272" t="s">
        <v>1474</v>
      </c>
      <c r="C35" s="279">
        <f>(C28*C24*C19^(C28-1)*C26^C29-1/C5-C30*C25*C19^(C30-1)*C26^C31)</f>
        <v>1.6680434811178202E-10</v>
      </c>
      <c r="E35" s="259"/>
      <c r="F35" s="259"/>
    </row>
    <row r="36" spans="1:6">
      <c r="A36" s="259" t="s">
        <v>892</v>
      </c>
      <c r="B36" s="272" t="s">
        <v>1475</v>
      </c>
      <c r="C36" s="279">
        <f>(C29*C24*C19^C28*C26^(C29-1)-C31*C25*C19^C30*C26^(C31-1)+1/C6)</f>
        <v>-3.8287879533527303E-9</v>
      </c>
      <c r="E36" s="259"/>
      <c r="F36" s="259"/>
    </row>
    <row r="37" spans="1:6">
      <c r="A37" s="259" t="s">
        <v>894</v>
      </c>
      <c r="B37" s="272" t="s">
        <v>1476</v>
      </c>
      <c r="C37" s="279">
        <f>(C28*C24*C20^(C28-1)*C27^C29-1/C5-C30*C25*C20^(C30-1)*C27^C31)</f>
        <v>4.4117420827660681E-9</v>
      </c>
      <c r="E37" s="259"/>
      <c r="F37" s="259"/>
    </row>
    <row r="38" spans="1:6">
      <c r="A38" s="259" t="s">
        <v>896</v>
      </c>
      <c r="B38" s="272" t="s">
        <v>1477</v>
      </c>
      <c r="C38" s="279">
        <f>(C29*C24*C20^C28*C27^(C29-1)-C31*C25*C20^C30*C27^(C31-1)+1/C6)</f>
        <v>-9.6195655885367159E-9</v>
      </c>
      <c r="E38" s="259"/>
      <c r="F38" s="259"/>
    </row>
    <row r="39" spans="1:6">
      <c r="A39" s="259" t="s">
        <v>898</v>
      </c>
      <c r="B39" s="272" t="s">
        <v>1478</v>
      </c>
      <c r="C39" s="279">
        <f>0.5*C7^2*C28*(C28-1)+0.5*C8^2*C29*(C29-1)+C9*C7*C8*C28*C29+C28*(C10-C5)+C29*(C10-C6)-C10</f>
        <v>-9.4764474045661018E-14</v>
      </c>
      <c r="D39" s="267"/>
      <c r="E39" s="259"/>
      <c r="F39" s="259"/>
    </row>
    <row r="40" spans="1:6">
      <c r="A40" s="259" t="s">
        <v>900</v>
      </c>
      <c r="B40" s="272" t="s">
        <v>1479</v>
      </c>
      <c r="C40" s="279">
        <f>0.5*C7^2*C30*(C30-1)+0.5*C8^2*C31*(C31-1)+C9*C7*C8*C30*C31+C30*(C10-C5)+C31*(C10-C6)-C10</f>
        <v>-8.2146789370796114E-13</v>
      </c>
      <c r="D40" s="267"/>
      <c r="E40" s="259"/>
      <c r="F40" s="259"/>
    </row>
    <row r="41" spans="1:6">
      <c r="A41" s="259"/>
      <c r="B41" s="259" t="s">
        <v>902</v>
      </c>
      <c r="C41" s="392">
        <f>SUM(ABS(C33)+ABS(C34)+ABS(C35)+ABS(C36)+ABS(C37)+ABS(C38)+ABS(C39)+ABS(C40))</f>
        <v>6.9569368273819654E-7</v>
      </c>
      <c r="D41" s="282" t="s">
        <v>553</v>
      </c>
      <c r="E41" s="259"/>
      <c r="F41" s="259"/>
    </row>
    <row r="42" spans="1:6">
      <c r="B42" s="272" t="s">
        <v>903</v>
      </c>
    </row>
    <row r="43" spans="1:6">
      <c r="A43" s="272" t="s">
        <v>1472</v>
      </c>
      <c r="B43" s="387" t="s">
        <v>1480</v>
      </c>
    </row>
    <row r="44" spans="1:6">
      <c r="A44" s="272" t="s">
        <v>1473</v>
      </c>
      <c r="B44" s="387" t="s">
        <v>1481</v>
      </c>
    </row>
    <row r="45" spans="1:6">
      <c r="A45" s="272" t="s">
        <v>1474</v>
      </c>
      <c r="B45" s="387" t="s">
        <v>1482</v>
      </c>
    </row>
    <row r="46" spans="1:6">
      <c r="A46" s="272" t="s">
        <v>1475</v>
      </c>
      <c r="B46" s="387" t="s">
        <v>1483</v>
      </c>
    </row>
    <row r="47" spans="1:6">
      <c r="A47" s="272" t="s">
        <v>1476</v>
      </c>
      <c r="B47" s="387" t="s">
        <v>1484</v>
      </c>
    </row>
    <row r="48" spans="1:6">
      <c r="A48" s="272" t="s">
        <v>1477</v>
      </c>
      <c r="B48" s="387" t="s">
        <v>1485</v>
      </c>
    </row>
    <row r="49" spans="1:3">
      <c r="A49" s="272" t="s">
        <v>1478</v>
      </c>
      <c r="B49" s="284" t="s">
        <v>919</v>
      </c>
    </row>
    <row r="50" spans="1:3">
      <c r="A50" s="272" t="s">
        <v>1479</v>
      </c>
      <c r="B50" s="284" t="s">
        <v>920</v>
      </c>
    </row>
    <row r="51" spans="1:3">
      <c r="A51" s="272" t="s">
        <v>921</v>
      </c>
      <c r="C51" s="112">
        <f>-C26+C27</f>
        <v>62.197847457697904</v>
      </c>
    </row>
    <row r="52" spans="1:3" ht="14.25">
      <c r="A52" s="272" t="s">
        <v>1486</v>
      </c>
      <c r="B52" s="388" t="s">
        <v>1487</v>
      </c>
    </row>
    <row r="53" spans="1:3" ht="14.25">
      <c r="A53" s="272" t="s">
        <v>1488</v>
      </c>
      <c r="B53" s="388" t="s">
        <v>1489</v>
      </c>
    </row>
  </sheetData>
  <printOptions horizontalCentered="1" headings="1"/>
  <pageMargins left="0.7" right="0.24" top="0.75" bottom="0.75" header="0.3" footer="0.3"/>
  <pageSetup scale="90" orientation="portrait" horizontalDpi="4294967293" verticalDpi="0" r:id="rId1"/>
</worksheet>
</file>

<file path=xl/worksheets/sheet76.xml><?xml version="1.0" encoding="utf-8"?>
<worksheet xmlns="http://schemas.openxmlformats.org/spreadsheetml/2006/main" xmlns:r="http://schemas.openxmlformats.org/officeDocument/2006/relationships">
  <dimension ref="A1:H43"/>
  <sheetViews>
    <sheetView topLeftCell="A45" workbookViewId="0">
      <selection activeCell="A64" sqref="A64"/>
    </sheetView>
  </sheetViews>
  <sheetFormatPr defaultRowHeight="12.75"/>
  <cols>
    <col min="1" max="1" width="26.7109375" bestFit="1" customWidth="1"/>
    <col min="3" max="3" width="12.42578125" bestFit="1" customWidth="1"/>
    <col min="4" max="8" width="12.42578125" customWidth="1"/>
  </cols>
  <sheetData>
    <row r="1" spans="1:8" ht="15.75">
      <c r="A1" s="258" t="s">
        <v>1462</v>
      </c>
      <c r="B1" s="259"/>
      <c r="C1" s="260"/>
      <c r="D1" s="260"/>
      <c r="E1" s="260"/>
      <c r="F1" s="260"/>
      <c r="G1" s="260"/>
      <c r="H1" s="260"/>
    </row>
    <row r="2" spans="1:8" ht="13.5">
      <c r="A2" s="259"/>
      <c r="B2" s="259" t="s">
        <v>553</v>
      </c>
      <c r="C2" s="261" t="s">
        <v>553</v>
      </c>
      <c r="D2" s="261"/>
      <c r="E2" s="261"/>
      <c r="F2" s="261"/>
      <c r="G2" s="261"/>
      <c r="H2" s="261"/>
    </row>
    <row r="3" spans="1:8">
      <c r="A3" s="259" t="s">
        <v>1463</v>
      </c>
      <c r="B3" s="259" t="s">
        <v>491</v>
      </c>
      <c r="C3" s="262">
        <v>50</v>
      </c>
      <c r="D3" s="262">
        <v>50</v>
      </c>
      <c r="E3" s="262">
        <v>50</v>
      </c>
      <c r="F3" s="262">
        <v>50</v>
      </c>
      <c r="G3" s="262">
        <v>50</v>
      </c>
      <c r="H3" s="262">
        <v>50</v>
      </c>
    </row>
    <row r="4" spans="1:8">
      <c r="A4" s="259" t="s">
        <v>1464</v>
      </c>
      <c r="B4" s="259" t="s">
        <v>839</v>
      </c>
      <c r="C4" s="259">
        <v>50</v>
      </c>
      <c r="D4" s="259">
        <v>50</v>
      </c>
      <c r="E4" s="259">
        <v>50</v>
      </c>
      <c r="F4" s="259">
        <v>50</v>
      </c>
      <c r="G4" s="259">
        <v>50</v>
      </c>
      <c r="H4" s="259">
        <v>50</v>
      </c>
    </row>
    <row r="5" spans="1:8" ht="14.25">
      <c r="A5" s="259" t="s">
        <v>840</v>
      </c>
      <c r="B5" s="205" t="s">
        <v>841</v>
      </c>
      <c r="C5" s="205">
        <v>0.04</v>
      </c>
      <c r="D5" s="205">
        <v>0.04</v>
      </c>
      <c r="E5" s="205">
        <v>0.04</v>
      </c>
      <c r="F5" s="205">
        <v>0.04</v>
      </c>
      <c r="G5" s="205">
        <v>0.04</v>
      </c>
      <c r="H5" s="205">
        <v>0.04</v>
      </c>
    </row>
    <row r="6" spans="1:8" ht="14.25">
      <c r="A6" s="259" t="s">
        <v>842</v>
      </c>
      <c r="B6" s="205" t="s">
        <v>843</v>
      </c>
      <c r="C6" s="205">
        <v>0.04</v>
      </c>
      <c r="D6" s="205">
        <v>0.04</v>
      </c>
      <c r="E6" s="205">
        <v>0.04</v>
      </c>
      <c r="F6" s="205">
        <v>0.04</v>
      </c>
      <c r="G6" s="205">
        <v>0.04</v>
      </c>
      <c r="H6" s="205">
        <v>0.04</v>
      </c>
    </row>
    <row r="7" spans="1:8" ht="14.25">
      <c r="A7" s="259" t="s">
        <v>844</v>
      </c>
      <c r="B7" s="205" t="s">
        <v>845</v>
      </c>
      <c r="C7" s="389">
        <v>0.2</v>
      </c>
      <c r="D7" s="389">
        <f>C7+0.05</f>
        <v>0.25</v>
      </c>
      <c r="E7" s="389">
        <f>D7+0.05</f>
        <v>0.3</v>
      </c>
      <c r="F7" s="389">
        <f>E7+0.05</f>
        <v>0.35</v>
      </c>
      <c r="G7" s="389">
        <f>F7+0.05</f>
        <v>0.39999999999999997</v>
      </c>
      <c r="H7" s="389">
        <f>G7+0.05</f>
        <v>0.44999999999999996</v>
      </c>
    </row>
    <row r="8" spans="1:8" ht="14.25">
      <c r="A8" s="259" t="s">
        <v>846</v>
      </c>
      <c r="B8" s="205" t="s">
        <v>847</v>
      </c>
      <c r="C8" s="265">
        <v>0.3</v>
      </c>
      <c r="D8" s="265">
        <v>0.3</v>
      </c>
      <c r="E8" s="265">
        <v>0.3</v>
      </c>
      <c r="F8" s="265">
        <v>0.3</v>
      </c>
      <c r="G8" s="265">
        <v>0.3</v>
      </c>
      <c r="H8" s="265">
        <v>0.3</v>
      </c>
    </row>
    <row r="9" spans="1:8">
      <c r="A9" s="259" t="s">
        <v>848</v>
      </c>
      <c r="B9" s="205" t="s">
        <v>849</v>
      </c>
      <c r="C9" s="265">
        <v>0.5</v>
      </c>
      <c r="D9" s="265">
        <v>0.5</v>
      </c>
      <c r="E9" s="265">
        <v>0.5</v>
      </c>
      <c r="F9" s="265">
        <v>0.5</v>
      </c>
      <c r="G9" s="265">
        <v>0.5</v>
      </c>
      <c r="H9" s="265">
        <v>0.5</v>
      </c>
    </row>
    <row r="10" spans="1:8">
      <c r="A10" s="259" t="s">
        <v>850</v>
      </c>
      <c r="B10" s="205" t="s">
        <v>2</v>
      </c>
      <c r="C10" s="205">
        <v>0.05</v>
      </c>
      <c r="D10" s="205">
        <v>0.05</v>
      </c>
      <c r="E10" s="205">
        <v>0.05</v>
      </c>
      <c r="F10" s="205">
        <v>0.05</v>
      </c>
      <c r="G10" s="205">
        <v>0.05</v>
      </c>
      <c r="H10" s="205">
        <v>0.05</v>
      </c>
    </row>
    <row r="11" spans="1:8" ht="14.25">
      <c r="A11" s="259" t="s">
        <v>1465</v>
      </c>
      <c r="B11" s="205" t="s">
        <v>1466</v>
      </c>
      <c r="C11" s="266">
        <v>100</v>
      </c>
      <c r="D11" s="266">
        <v>100</v>
      </c>
      <c r="E11" s="266">
        <v>100</v>
      </c>
      <c r="F11" s="266">
        <v>100</v>
      </c>
      <c r="G11" s="266">
        <v>100</v>
      </c>
      <c r="H11" s="266">
        <v>100</v>
      </c>
    </row>
    <row r="12" spans="1:8" ht="14.25">
      <c r="A12" s="259" t="s">
        <v>1467</v>
      </c>
      <c r="B12" s="205" t="s">
        <v>1468</v>
      </c>
      <c r="C12" s="266">
        <v>100</v>
      </c>
      <c r="D12" s="266">
        <v>100</v>
      </c>
      <c r="E12" s="266">
        <v>100</v>
      </c>
      <c r="F12" s="266">
        <v>100</v>
      </c>
      <c r="G12" s="266">
        <v>100</v>
      </c>
      <c r="H12" s="266">
        <v>100</v>
      </c>
    </row>
    <row r="13" spans="1:8">
      <c r="A13" s="259" t="s">
        <v>553</v>
      </c>
      <c r="B13" s="205" t="s">
        <v>553</v>
      </c>
      <c r="C13" s="264" t="s">
        <v>553</v>
      </c>
      <c r="D13" s="264" t="s">
        <v>553</v>
      </c>
      <c r="E13" s="264" t="s">
        <v>553</v>
      </c>
      <c r="F13" s="264" t="s">
        <v>553</v>
      </c>
      <c r="G13" s="264" t="s">
        <v>553</v>
      </c>
      <c r="H13" s="264" t="s">
        <v>553</v>
      </c>
    </row>
    <row r="14" spans="1:8">
      <c r="A14" s="259" t="s">
        <v>553</v>
      </c>
      <c r="B14" s="205" t="s">
        <v>553</v>
      </c>
      <c r="C14" s="264" t="s">
        <v>553</v>
      </c>
      <c r="D14" s="264" t="s">
        <v>553</v>
      </c>
      <c r="E14" s="264" t="s">
        <v>553</v>
      </c>
      <c r="F14" s="264" t="s">
        <v>553</v>
      </c>
      <c r="G14" s="264" t="s">
        <v>553</v>
      </c>
      <c r="H14" s="264" t="s">
        <v>553</v>
      </c>
    </row>
    <row r="15" spans="1:8" ht="14.25">
      <c r="A15" s="259" t="s">
        <v>855</v>
      </c>
      <c r="B15" s="205" t="s">
        <v>856</v>
      </c>
      <c r="C15" s="264">
        <v>50</v>
      </c>
      <c r="D15" s="264">
        <v>50</v>
      </c>
      <c r="E15" s="264">
        <v>50</v>
      </c>
      <c r="F15" s="264">
        <v>50</v>
      </c>
      <c r="G15" s="264">
        <v>50</v>
      </c>
      <c r="H15" s="264">
        <v>50</v>
      </c>
    </row>
    <row r="16" spans="1:8" ht="14.25">
      <c r="A16" s="259" t="s">
        <v>857</v>
      </c>
      <c r="B16" s="205" t="s">
        <v>858</v>
      </c>
      <c r="C16" s="264">
        <v>70</v>
      </c>
      <c r="D16" s="264">
        <v>70</v>
      </c>
      <c r="E16" s="264">
        <v>70</v>
      </c>
      <c r="F16" s="264">
        <v>70</v>
      </c>
      <c r="G16" s="264">
        <v>70</v>
      </c>
      <c r="H16" s="264">
        <v>70</v>
      </c>
    </row>
    <row r="17" spans="1:8">
      <c r="A17" s="259" t="s">
        <v>1469</v>
      </c>
      <c r="B17" s="259" t="s">
        <v>114</v>
      </c>
      <c r="C17" s="267">
        <f t="shared" ref="C17:H17" si="0">(-C3/C5+C11/C10)</f>
        <v>750</v>
      </c>
      <c r="D17" s="267">
        <f t="shared" si="0"/>
        <v>750</v>
      </c>
      <c r="E17" s="267">
        <f t="shared" si="0"/>
        <v>750</v>
      </c>
      <c r="F17" s="267">
        <f t="shared" si="0"/>
        <v>750</v>
      </c>
      <c r="G17" s="267">
        <f t="shared" si="0"/>
        <v>750</v>
      </c>
      <c r="H17" s="267">
        <f t="shared" si="0"/>
        <v>750</v>
      </c>
    </row>
    <row r="18" spans="1:8">
      <c r="A18" s="259" t="s">
        <v>1470</v>
      </c>
      <c r="B18" s="259" t="s">
        <v>862</v>
      </c>
      <c r="C18" s="267">
        <f t="shared" ref="C18:H18" si="1">(-C4/C6+C12/C10)</f>
        <v>750</v>
      </c>
      <c r="D18" s="267">
        <f t="shared" si="1"/>
        <v>750</v>
      </c>
      <c r="E18" s="267">
        <f t="shared" si="1"/>
        <v>750</v>
      </c>
      <c r="F18" s="267">
        <f t="shared" si="1"/>
        <v>750</v>
      </c>
      <c r="G18" s="267">
        <f t="shared" si="1"/>
        <v>750</v>
      </c>
      <c r="H18" s="267">
        <f t="shared" si="1"/>
        <v>750</v>
      </c>
    </row>
    <row r="19" spans="1:8" ht="14.25">
      <c r="A19" s="259" t="s">
        <v>864</v>
      </c>
      <c r="B19" s="205" t="s">
        <v>865</v>
      </c>
      <c r="C19" s="268">
        <f t="shared" ref="C19:H19" si="2">C3</f>
        <v>50</v>
      </c>
      <c r="D19" s="268">
        <f t="shared" si="2"/>
        <v>50</v>
      </c>
      <c r="E19" s="268">
        <f t="shared" si="2"/>
        <v>50</v>
      </c>
      <c r="F19" s="268">
        <f t="shared" si="2"/>
        <v>50</v>
      </c>
      <c r="G19" s="268">
        <f t="shared" si="2"/>
        <v>50</v>
      </c>
      <c r="H19" s="268">
        <f t="shared" si="2"/>
        <v>50</v>
      </c>
    </row>
    <row r="20" spans="1:8" ht="14.25">
      <c r="A20" s="259" t="s">
        <v>866</v>
      </c>
      <c r="B20" s="205" t="s">
        <v>867</v>
      </c>
      <c r="C20" s="268">
        <f t="shared" ref="C20:H20" si="3">C3</f>
        <v>50</v>
      </c>
      <c r="D20" s="268">
        <f t="shared" si="3"/>
        <v>50</v>
      </c>
      <c r="E20" s="268">
        <f t="shared" si="3"/>
        <v>50</v>
      </c>
      <c r="F20" s="268">
        <f t="shared" si="3"/>
        <v>50</v>
      </c>
      <c r="G20" s="268">
        <f t="shared" si="3"/>
        <v>50</v>
      </c>
      <c r="H20" s="268">
        <f t="shared" si="3"/>
        <v>50</v>
      </c>
    </row>
    <row r="21" spans="1:8">
      <c r="A21" s="259"/>
      <c r="B21" s="259" t="s">
        <v>868</v>
      </c>
      <c r="C21" s="259"/>
      <c r="D21" s="259"/>
      <c r="E21" s="259"/>
      <c r="F21" s="259"/>
      <c r="G21" s="259"/>
      <c r="H21" s="259"/>
    </row>
    <row r="22" spans="1:8" ht="14.25">
      <c r="A22" s="259" t="s">
        <v>870</v>
      </c>
      <c r="B22" s="269" t="s">
        <v>871</v>
      </c>
      <c r="C22" s="386">
        <f t="shared" ref="C22:H22" si="4">-C3/C5+C11/C10+C24*C3^C28*C4^C29</f>
        <v>1222.5111956375447</v>
      </c>
      <c r="D22" s="386">
        <f t="shared" si="4"/>
        <v>1249.1110366661503</v>
      </c>
      <c r="E22" s="386">
        <f t="shared" si="4"/>
        <v>1286.9149665276336</v>
      </c>
      <c r="F22" s="386">
        <f t="shared" si="4"/>
        <v>1331.9588517873992</v>
      </c>
      <c r="G22" s="386">
        <f t="shared" si="4"/>
        <v>1380.6640239535664</v>
      </c>
      <c r="H22" s="386">
        <f t="shared" si="4"/>
        <v>1430.2538678318722</v>
      </c>
    </row>
    <row r="23" spans="1:8" ht="14.25">
      <c r="A23" s="259" t="s">
        <v>872</v>
      </c>
      <c r="B23" s="269" t="s">
        <v>873</v>
      </c>
      <c r="C23" s="386">
        <f t="shared" ref="C23:H23" si="5">-C4/C6+C12/C10+C25*C3^C30*C4^C31</f>
        <v>1222.8747826871891</v>
      </c>
      <c r="D23" s="386">
        <f t="shared" si="5"/>
        <v>1244.9931445691957</v>
      </c>
      <c r="E23" s="386">
        <f t="shared" si="5"/>
        <v>1277.895862195064</v>
      </c>
      <c r="F23" s="386">
        <f t="shared" si="5"/>
        <v>1318.0621982215689</v>
      </c>
      <c r="G23" s="386">
        <f t="shared" si="5"/>
        <v>1362.1409369025534</v>
      </c>
      <c r="H23" s="386">
        <f t="shared" si="5"/>
        <v>1407.4203468573482</v>
      </c>
    </row>
    <row r="24" spans="1:8">
      <c r="A24" s="259"/>
      <c r="B24" s="272" t="s">
        <v>609</v>
      </c>
      <c r="C24" s="273">
        <v>6.2905087787657443</v>
      </c>
      <c r="D24" s="273">
        <v>6.7937549317452666</v>
      </c>
      <c r="E24" s="273">
        <v>7.498730129207396</v>
      </c>
      <c r="F24" s="273">
        <v>8.3371422369354651</v>
      </c>
      <c r="G24" s="273">
        <v>9.2471220439549917</v>
      </c>
      <c r="H24" s="273">
        <v>10.179844987733814</v>
      </c>
    </row>
    <row r="25" spans="1:8">
      <c r="A25" s="259"/>
      <c r="B25" s="272" t="s">
        <v>874</v>
      </c>
      <c r="C25" s="273">
        <v>6.6470453880713842</v>
      </c>
      <c r="D25" s="273">
        <v>6.9587921152725514</v>
      </c>
      <c r="E25" s="273">
        <v>7.4549260825583756</v>
      </c>
      <c r="F25" s="273">
        <v>8.0824125404810268</v>
      </c>
      <c r="G25" s="273">
        <v>8.7874108903832155</v>
      </c>
      <c r="H25" s="273">
        <v>9.5233096139602917</v>
      </c>
    </row>
    <row r="26" spans="1:8" ht="14.25">
      <c r="A26" s="259" t="s">
        <v>875</v>
      </c>
      <c r="B26" s="275" t="s">
        <v>876</v>
      </c>
      <c r="C26" s="276">
        <v>29.847065347151482</v>
      </c>
      <c r="D26" s="276">
        <v>28.325663932755724</v>
      </c>
      <c r="E26" s="276">
        <v>26.449580804357112</v>
      </c>
      <c r="F26" s="276">
        <v>24.393738805083697</v>
      </c>
      <c r="G26" s="276">
        <v>22.285131302388976</v>
      </c>
      <c r="H26" s="276">
        <v>20.20353975389709</v>
      </c>
    </row>
    <row r="27" spans="1:8" ht="14.25">
      <c r="A27" s="259" t="s">
        <v>875</v>
      </c>
      <c r="B27" s="275" t="s">
        <v>877</v>
      </c>
      <c r="C27" s="276">
        <v>85.932814709553043</v>
      </c>
      <c r="D27" s="276">
        <v>85.225863672272666</v>
      </c>
      <c r="E27" s="276">
        <v>84.804802241509847</v>
      </c>
      <c r="F27" s="276">
        <v>84.589526408911411</v>
      </c>
      <c r="G27" s="276">
        <v>84.48297878827978</v>
      </c>
      <c r="H27" s="276">
        <v>84.390631295206816</v>
      </c>
    </row>
    <row r="28" spans="1:8" ht="14.25">
      <c r="A28" s="259" t="s">
        <v>878</v>
      </c>
      <c r="B28" s="275" t="s">
        <v>879</v>
      </c>
      <c r="C28" s="277">
        <v>1.7348539820070779</v>
      </c>
      <c r="D28" s="277">
        <v>1.6632112002035631</v>
      </c>
      <c r="E28" s="277">
        <v>1.5785018900691894</v>
      </c>
      <c r="F28" s="277">
        <v>1.4948740324039445</v>
      </c>
      <c r="G28" s="277">
        <v>1.4197152472909877</v>
      </c>
      <c r="H28" s="277">
        <v>1.3554104739336279</v>
      </c>
    </row>
    <row r="29" spans="1:8" ht="14.25">
      <c r="A29" s="259" t="s">
        <v>878</v>
      </c>
      <c r="B29" s="275" t="s">
        <v>881</v>
      </c>
      <c r="C29" s="277">
        <v>-0.63081663847309644</v>
      </c>
      <c r="D29" s="277">
        <v>-0.56484731389871456</v>
      </c>
      <c r="E29" s="277">
        <v>-0.48671228739242062</v>
      </c>
      <c r="F29" s="277">
        <v>-0.40958408453394118</v>
      </c>
      <c r="G29" s="277">
        <v>-0.34036042447998166</v>
      </c>
      <c r="H29" s="277">
        <v>-0.28127152489218782</v>
      </c>
    </row>
    <row r="30" spans="1:8" ht="14.25">
      <c r="A30" s="259" t="s">
        <v>878</v>
      </c>
      <c r="B30" s="275" t="s">
        <v>883</v>
      </c>
      <c r="C30" s="277">
        <v>-0.57338496608525924</v>
      </c>
      <c r="D30" s="277">
        <v>-0.53882018209999849</v>
      </c>
      <c r="E30" s="277">
        <v>-0.48930462970028571</v>
      </c>
      <c r="F30" s="277">
        <v>-0.43403247789440363</v>
      </c>
      <c r="G30" s="277">
        <v>-0.37967462462483953</v>
      </c>
      <c r="H30" s="277">
        <v>-0.32987600305367398</v>
      </c>
    </row>
    <row r="31" spans="1:8" ht="14.25">
      <c r="A31" s="259" t="s">
        <v>878</v>
      </c>
      <c r="B31" s="275" t="s">
        <v>884</v>
      </c>
      <c r="C31" s="277">
        <v>1.6635263492234951</v>
      </c>
      <c r="D31" s="277">
        <v>1.6289308472395503</v>
      </c>
      <c r="E31" s="277">
        <v>1.578261416159308</v>
      </c>
      <c r="F31" s="277">
        <v>1.5210763171120074</v>
      </c>
      <c r="G31" s="277">
        <v>1.4644439172848287</v>
      </c>
      <c r="H31" s="277">
        <v>1.4123290378289359</v>
      </c>
    </row>
    <row r="32" spans="1:8">
      <c r="A32" s="259"/>
      <c r="B32" s="259" t="s">
        <v>885</v>
      </c>
      <c r="C32" s="277" t="s">
        <v>553</v>
      </c>
      <c r="D32" s="277" t="s">
        <v>553</v>
      </c>
      <c r="E32" s="277" t="s">
        <v>553</v>
      </c>
      <c r="F32" s="277" t="s">
        <v>553</v>
      </c>
      <c r="G32" s="277" t="s">
        <v>553</v>
      </c>
      <c r="H32" s="277" t="s">
        <v>553</v>
      </c>
    </row>
    <row r="33" spans="1:8">
      <c r="A33" s="259" t="s">
        <v>886</v>
      </c>
      <c r="B33" s="272" t="s">
        <v>887</v>
      </c>
      <c r="C33" s="277">
        <f>(C24*C19^C28*C26^C29-C19/C5+C11/C10-C25*C19^C30*C26^C31+C26/C6-C12/C10+C15)</f>
        <v>8.0368863564217463E-7</v>
      </c>
      <c r="D33" s="277">
        <f t="shared" ref="D33:H33" si="6">(D24*D19^D28*D26^D29-D19/D5+D11/D10-D25*D19^D30*D26^D31+D26/D6-D12/D10+D15)</f>
        <v>2.2737367544323206E-13</v>
      </c>
      <c r="E33" s="277">
        <f t="shared" si="6"/>
        <v>-4.5474735088646412E-13</v>
      </c>
      <c r="F33" s="277">
        <f t="shared" si="6"/>
        <v>-4.5474735088646412E-13</v>
      </c>
      <c r="G33" s="277">
        <f t="shared" si="6"/>
        <v>0</v>
      </c>
      <c r="H33" s="277">
        <f t="shared" si="6"/>
        <v>0</v>
      </c>
    </row>
    <row r="34" spans="1:8">
      <c r="A34" s="259" t="s">
        <v>888</v>
      </c>
      <c r="B34" s="272" t="s">
        <v>889</v>
      </c>
      <c r="C34" s="277">
        <f>(C24*C20^C28*C27^C29-C20/C5+C11/C10-C25*C20^C30*C27^C31+C27/C6-C12/C10-C16)</f>
        <v>4.701987563748844E-7</v>
      </c>
      <c r="D34" s="277">
        <f t="shared" ref="D34:H34" si="7">(D24*D20^D28*D27^D29-D20/D5+D11/D10-D25*D20^D30*D27^D31+D27/D6-D12/D10-D16)</f>
        <v>0</v>
      </c>
      <c r="E34" s="277">
        <f t="shared" si="7"/>
        <v>4.5474735088646412E-13</v>
      </c>
      <c r="F34" s="277">
        <f t="shared" si="7"/>
        <v>0</v>
      </c>
      <c r="G34" s="277">
        <f t="shared" si="7"/>
        <v>0</v>
      </c>
      <c r="H34" s="277">
        <f t="shared" si="7"/>
        <v>9.0949470177292824E-13</v>
      </c>
    </row>
    <row r="35" spans="1:8">
      <c r="A35" s="259" t="s">
        <v>890</v>
      </c>
      <c r="B35" s="272" t="s">
        <v>891</v>
      </c>
      <c r="C35" s="277">
        <f>(C28*C24*C19^(C28-1)*C26^C29-1/C5-C30*C25*C19^(C30-1)*C26^C31)</f>
        <v>2.8327154844021152E-8</v>
      </c>
      <c r="D35" s="277">
        <f t="shared" ref="D35:H35" si="8">(D28*D24*D19^(D28-1)*D26^D29-1/D5-D30*D25*D19^(D30-1)*D26^D31)</f>
        <v>-2.2204460492503131E-15</v>
      </c>
      <c r="E35" s="277">
        <f t="shared" si="8"/>
        <v>-2.6645352591003757E-15</v>
      </c>
      <c r="F35" s="277">
        <f t="shared" si="8"/>
        <v>-7.3274719625260332E-15</v>
      </c>
      <c r="G35" s="277">
        <f t="shared" si="8"/>
        <v>-3.1086244689504383E-15</v>
      </c>
      <c r="H35" s="277">
        <f t="shared" si="8"/>
        <v>3.1086244689504383E-15</v>
      </c>
    </row>
    <row r="36" spans="1:8">
      <c r="A36" s="259" t="s">
        <v>892</v>
      </c>
      <c r="B36" s="272" t="s">
        <v>893</v>
      </c>
      <c r="C36" s="277">
        <f>(C29*C24*C19^C28*C26^(C29-1)-C31*C25*C19^C30*C26^(C31-1)+1/C6)</f>
        <v>-1.6950284731365173E-8</v>
      </c>
      <c r="D36" s="277">
        <f t="shared" ref="D36:H36" si="9">(D29*D24*D19^D28*D26^(D29-1)-D31*D25*D19^D30*D26^(D31-1)+1/D6)</f>
        <v>1.0658141036401503E-14</v>
      </c>
      <c r="E36" s="277">
        <f t="shared" si="9"/>
        <v>7.1054273576010019E-15</v>
      </c>
      <c r="F36" s="277">
        <f t="shared" si="9"/>
        <v>0</v>
      </c>
      <c r="G36" s="277">
        <f t="shared" si="9"/>
        <v>7.1054273576010019E-15</v>
      </c>
      <c r="H36" s="277">
        <f t="shared" si="9"/>
        <v>-7.1054273576010019E-15</v>
      </c>
    </row>
    <row r="37" spans="1:8">
      <c r="A37" s="259" t="s">
        <v>894</v>
      </c>
      <c r="B37" s="272" t="s">
        <v>895</v>
      </c>
      <c r="C37" s="277">
        <f>(C28*C24*C20^(C28-1)*C27^C29-1/C5-C30*C25*C20^(C30-1)*C27^C31)</f>
        <v>1.9726728694990925E-8</v>
      </c>
      <c r="D37" s="277">
        <f t="shared" ref="D37:H37" si="10">(D28*D24*D20^(D28-1)*D27^D29-1/D5-D30*D25*D20^(D30-1)*D27^D31)</f>
        <v>-1.2434497875801753E-14</v>
      </c>
      <c r="E37" s="277">
        <f t="shared" si="10"/>
        <v>1.7763568394002505E-15</v>
      </c>
      <c r="F37" s="277">
        <f t="shared" si="10"/>
        <v>-1.2434497875801753E-14</v>
      </c>
      <c r="G37" s="277">
        <f t="shared" si="10"/>
        <v>0</v>
      </c>
      <c r="H37" s="277">
        <f t="shared" si="10"/>
        <v>0</v>
      </c>
    </row>
    <row r="38" spans="1:8">
      <c r="A38" s="259" t="s">
        <v>896</v>
      </c>
      <c r="B38" s="272" t="s">
        <v>897</v>
      </c>
      <c r="C38" s="277">
        <f>(C29*C24*C20^C28*C27^(C29-1)-C31*C25*C20^C30*C27^(C31-1)+1/C6)</f>
        <v>-2.0163071212664363E-9</v>
      </c>
      <c r="D38" s="277">
        <f t="shared" ref="D38:H38" si="11">(D29*D24*D20^D28*D27^(D29-1)-D31*D25*D20^D30*D27^(D31-1)+1/D6)</f>
        <v>1.4210854715202004E-14</v>
      </c>
      <c r="E38" s="277">
        <f t="shared" si="11"/>
        <v>1.4210854715202004E-14</v>
      </c>
      <c r="F38" s="277">
        <f t="shared" si="11"/>
        <v>1.0658141036401503E-14</v>
      </c>
      <c r="G38" s="277">
        <f t="shared" si="11"/>
        <v>-3.5527136788005009E-15</v>
      </c>
      <c r="H38" s="277">
        <f t="shared" si="11"/>
        <v>-1.7763568394002505E-14</v>
      </c>
    </row>
    <row r="39" spans="1:8">
      <c r="A39" s="259" t="s">
        <v>898</v>
      </c>
      <c r="B39" s="272" t="s">
        <v>899</v>
      </c>
      <c r="C39" s="390">
        <f>0.5*C7^2*C28*(C28-1)+0.5*C8^2*C29*(C29-1)+C9*C7*C8*C28*C29+C28*(C10-C5)+C29*(C10-C6)-C10</f>
        <v>9.1514990030461263E-13</v>
      </c>
      <c r="D39" s="390">
        <f t="shared" ref="D39:H39" si="12">0.5*D7^2*D28*(D28-1)+0.5*D8^2*D29*(D29-1)+D9*D7*D8*D28*D29+D28*(D10-D5)+D29*(D10-D6)-D10</f>
        <v>0</v>
      </c>
      <c r="E39" s="390">
        <f t="shared" si="12"/>
        <v>0</v>
      </c>
      <c r="F39" s="390">
        <f t="shared" si="12"/>
        <v>0</v>
      </c>
      <c r="G39" s="390">
        <f t="shared" si="12"/>
        <v>0</v>
      </c>
      <c r="H39" s="390">
        <f t="shared" si="12"/>
        <v>0</v>
      </c>
    </row>
    <row r="40" spans="1:8">
      <c r="A40" s="259" t="s">
        <v>900</v>
      </c>
      <c r="B40" s="272" t="s">
        <v>901</v>
      </c>
      <c r="C40" s="390">
        <f>0.5*C7^2*C30*(C30-1)+0.5*C8^2*C31*(C31-1)+C9*C7*C8*C30*C31+C30*(C10-C5)+C31*(C10-C6)-C10</f>
        <v>-2.3078761124395442E-14</v>
      </c>
      <c r="D40" s="390">
        <f t="shared" ref="D40:H40" si="13">0.5*D7^2*D30*(D30-1)+0.5*D8^2*D31*(D31-1)+D9*D7*D8*D30*D31+D30*(D10-D5)+D31*(D10-D6)-D10</f>
        <v>0</v>
      </c>
      <c r="E40" s="390">
        <f t="shared" si="13"/>
        <v>0</v>
      </c>
      <c r="F40" s="390">
        <f t="shared" si="13"/>
        <v>0</v>
      </c>
      <c r="G40" s="390">
        <f t="shared" si="13"/>
        <v>0</v>
      </c>
      <c r="H40" s="390">
        <f t="shared" si="13"/>
        <v>0</v>
      </c>
    </row>
    <row r="41" spans="1:8">
      <c r="A41" s="259"/>
      <c r="B41" s="259" t="s">
        <v>902</v>
      </c>
      <c r="C41" s="391">
        <f t="shared" ref="C41:H41" si="14">SUM(ABS(C33)+ABS(C34)+ABS(C35)+ABS(C36)+ABS(C37)+ABS(C38)+ABS(C39)+ABS(C40))</f>
        <v>1.3409088056373641E-6</v>
      </c>
      <c r="D41" s="391">
        <f t="shared" si="14"/>
        <v>2.6689761511988763E-13</v>
      </c>
      <c r="E41" s="391">
        <f t="shared" si="14"/>
        <v>9.3525187594423187E-13</v>
      </c>
      <c r="F41" s="391">
        <f t="shared" si="14"/>
        <v>4.8516746176119341E-13</v>
      </c>
      <c r="G41" s="391">
        <f t="shared" si="14"/>
        <v>1.3766765505351941E-14</v>
      </c>
      <c r="H41" s="391">
        <f t="shared" si="14"/>
        <v>9.3747232199348218E-13</v>
      </c>
    </row>
    <row r="42" spans="1:8">
      <c r="B42" s="272" t="s">
        <v>1490</v>
      </c>
      <c r="H42" s="291">
        <f t="array" ref="H42">SUM(ABS(C41:H41))</f>
        <v>1.3409114441934045E-6</v>
      </c>
    </row>
    <row r="43" spans="1:8" ht="14.25">
      <c r="B43" s="272" t="s">
        <v>934</v>
      </c>
      <c r="C43" s="112">
        <f>C27-C26</f>
        <v>56.085749362401558</v>
      </c>
      <c r="D43" s="112">
        <f t="shared" ref="D43:H43" si="15">D27-D26</f>
        <v>56.900199739516943</v>
      </c>
      <c r="E43" s="112">
        <f t="shared" si="15"/>
        <v>58.355221437152736</v>
      </c>
      <c r="F43" s="112">
        <f t="shared" si="15"/>
        <v>60.195787603827711</v>
      </c>
      <c r="G43" s="112">
        <f t="shared" si="15"/>
        <v>62.197847485890804</v>
      </c>
      <c r="H43" s="112">
        <f t="shared" si="15"/>
        <v>64.187091541309726</v>
      </c>
    </row>
  </sheetData>
  <pageMargins left="0.7" right="0.7" top="0.75" bottom="0.75" header="0.3" footer="0.3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>
  <dimension ref="A1:F39"/>
  <sheetViews>
    <sheetView workbookViewId="0">
      <selection sqref="A1:H39"/>
    </sheetView>
  </sheetViews>
  <sheetFormatPr defaultRowHeight="12.75"/>
  <cols>
    <col min="1" max="1" width="26.7109375" bestFit="1" customWidth="1"/>
  </cols>
  <sheetData>
    <row r="1" spans="1:6" ht="15.75">
      <c r="A1" s="258" t="s">
        <v>944</v>
      </c>
      <c r="B1" s="259"/>
      <c r="C1" s="260"/>
      <c r="D1" s="259"/>
      <c r="E1" s="259"/>
      <c r="F1" s="259"/>
    </row>
    <row r="2" spans="1:6" ht="13.5">
      <c r="A2" s="259" t="s">
        <v>1501</v>
      </c>
      <c r="C2" s="261" t="s">
        <v>553</v>
      </c>
      <c r="D2" s="259"/>
      <c r="E2" s="259"/>
      <c r="F2" s="259"/>
    </row>
    <row r="3" spans="1:6">
      <c r="A3" s="259" t="s">
        <v>1463</v>
      </c>
      <c r="B3" s="259" t="s">
        <v>491</v>
      </c>
      <c r="C3" s="262">
        <v>50</v>
      </c>
      <c r="D3" s="263" t="s">
        <v>553</v>
      </c>
      <c r="E3" s="259"/>
      <c r="F3" s="259"/>
    </row>
    <row r="4" spans="1:6">
      <c r="A4" s="259" t="s">
        <v>1464</v>
      </c>
      <c r="B4" s="259" t="s">
        <v>839</v>
      </c>
      <c r="C4" s="259">
        <v>50</v>
      </c>
      <c r="D4" s="263" t="s">
        <v>553</v>
      </c>
      <c r="E4" s="259"/>
      <c r="F4" s="259"/>
    </row>
    <row r="5" spans="1:6" ht="14.25">
      <c r="A5" s="259" t="s">
        <v>840</v>
      </c>
      <c r="B5" s="205" t="s">
        <v>841</v>
      </c>
      <c r="C5" s="205">
        <v>0.04</v>
      </c>
      <c r="D5" s="263"/>
      <c r="E5" s="259"/>
      <c r="F5" s="259"/>
    </row>
    <row r="6" spans="1:6" ht="14.25">
      <c r="A6" s="259" t="s">
        <v>842</v>
      </c>
      <c r="B6" s="205" t="s">
        <v>843</v>
      </c>
      <c r="C6" s="205">
        <v>0.04</v>
      </c>
      <c r="D6" s="264"/>
      <c r="E6" s="259"/>
      <c r="F6" s="259"/>
    </row>
    <row r="7" spans="1:6" ht="14.25">
      <c r="A7" s="259" t="s">
        <v>844</v>
      </c>
      <c r="B7" s="205" t="s">
        <v>845</v>
      </c>
      <c r="C7" s="265">
        <v>0.4</v>
      </c>
      <c r="D7" s="264"/>
      <c r="E7" s="259"/>
      <c r="F7" s="259"/>
    </row>
    <row r="8" spans="1:6" ht="14.25">
      <c r="A8" s="259" t="s">
        <v>846</v>
      </c>
      <c r="B8" s="205" t="s">
        <v>847</v>
      </c>
      <c r="C8" s="265">
        <v>0.3</v>
      </c>
      <c r="D8" s="264"/>
      <c r="E8" s="259"/>
      <c r="F8" s="259"/>
    </row>
    <row r="9" spans="1:6">
      <c r="A9" s="259" t="s">
        <v>848</v>
      </c>
      <c r="B9" s="205" t="s">
        <v>849</v>
      </c>
      <c r="C9" s="265">
        <v>0.5</v>
      </c>
      <c r="D9" s="264"/>
      <c r="E9" s="259"/>
      <c r="F9" s="259"/>
    </row>
    <row r="10" spans="1:6">
      <c r="A10" s="259" t="s">
        <v>850</v>
      </c>
      <c r="B10" s="205" t="s">
        <v>2</v>
      </c>
      <c r="C10" s="205">
        <v>0.05</v>
      </c>
      <c r="D10" s="264"/>
      <c r="E10" s="259"/>
      <c r="F10" s="259"/>
    </row>
    <row r="11" spans="1:6" ht="14.25">
      <c r="A11" s="259" t="s">
        <v>1465</v>
      </c>
      <c r="B11" s="205" t="s">
        <v>1466</v>
      </c>
      <c r="C11" s="266">
        <v>100</v>
      </c>
      <c r="D11" s="264"/>
      <c r="E11" s="259"/>
      <c r="F11" s="259"/>
    </row>
    <row r="12" spans="1:6" ht="14.25">
      <c r="A12" s="259" t="s">
        <v>1467</v>
      </c>
      <c r="B12" s="205" t="s">
        <v>1468</v>
      </c>
      <c r="C12" s="266">
        <v>100</v>
      </c>
      <c r="D12" s="264"/>
      <c r="E12" s="259"/>
      <c r="F12" s="259"/>
    </row>
    <row r="13" spans="1:6" ht="14.25">
      <c r="A13" s="259" t="s">
        <v>855</v>
      </c>
      <c r="B13" s="205" t="s">
        <v>856</v>
      </c>
      <c r="C13" s="264">
        <v>50</v>
      </c>
      <c r="D13" s="264"/>
      <c r="E13" s="259"/>
      <c r="F13" s="259"/>
    </row>
    <row r="14" spans="1:6">
      <c r="A14" s="259" t="s">
        <v>553</v>
      </c>
      <c r="B14" s="205" t="s">
        <v>553</v>
      </c>
      <c r="C14" s="264" t="s">
        <v>553</v>
      </c>
      <c r="D14" s="264"/>
      <c r="E14" s="259"/>
      <c r="F14" s="259"/>
    </row>
    <row r="15" spans="1:6">
      <c r="A15" s="259" t="s">
        <v>1469</v>
      </c>
      <c r="B15" s="259" t="s">
        <v>114</v>
      </c>
      <c r="C15" s="267">
        <f>(-C3/C5+C11/C10)</f>
        <v>750</v>
      </c>
      <c r="D15" s="264" t="s">
        <v>553</v>
      </c>
      <c r="E15" s="259"/>
      <c r="F15" s="259"/>
    </row>
    <row r="16" spans="1:6">
      <c r="A16" s="259" t="s">
        <v>1470</v>
      </c>
      <c r="B16" s="259" t="s">
        <v>862</v>
      </c>
      <c r="C16" s="267">
        <f>(-C4/C6+C12/C10)</f>
        <v>750</v>
      </c>
      <c r="D16" s="264" t="s">
        <v>553</v>
      </c>
      <c r="E16" s="259"/>
      <c r="F16" s="259"/>
    </row>
    <row r="17" spans="1:6" ht="14.25">
      <c r="A17" s="259" t="s">
        <v>875</v>
      </c>
      <c r="B17" s="205" t="s">
        <v>865</v>
      </c>
      <c r="C17" s="268">
        <f>C3</f>
        <v>50</v>
      </c>
      <c r="D17" s="264"/>
      <c r="E17" s="259"/>
      <c r="F17" s="259"/>
    </row>
    <row r="18" spans="1:6">
      <c r="A18" s="259" t="s">
        <v>553</v>
      </c>
      <c r="B18" s="205" t="s">
        <v>553</v>
      </c>
      <c r="C18" s="268" t="s">
        <v>553</v>
      </c>
      <c r="D18" s="264"/>
      <c r="E18" s="259"/>
      <c r="F18" s="259"/>
    </row>
    <row r="19" spans="1:6">
      <c r="A19" s="259"/>
      <c r="B19" s="259" t="s">
        <v>868</v>
      </c>
      <c r="C19" s="259"/>
      <c r="D19" s="259" t="s">
        <v>869</v>
      </c>
      <c r="E19" s="259"/>
      <c r="F19" s="259"/>
    </row>
    <row r="20" spans="1:6" ht="14.25">
      <c r="A20" s="259" t="s">
        <v>870</v>
      </c>
      <c r="B20" s="269" t="s">
        <v>871</v>
      </c>
      <c r="C20" s="386">
        <f>-C3/C5+C11/C10+C22*C3^C24*C4^C25</f>
        <v>1284.2197678739058</v>
      </c>
      <c r="D20" s="270">
        <f>C20-C15</f>
        <v>534.21976787390577</v>
      </c>
      <c r="E20" s="259"/>
      <c r="F20" s="259"/>
    </row>
    <row r="21" spans="1:6" ht="14.25">
      <c r="A21" s="259" t="s">
        <v>872</v>
      </c>
      <c r="B21" s="269" t="s">
        <v>873</v>
      </c>
      <c r="C21" s="386">
        <f>-C4/C6+C12/C10</f>
        <v>750</v>
      </c>
      <c r="D21" s="267" t="s">
        <v>553</v>
      </c>
      <c r="E21" s="259"/>
      <c r="F21" s="259"/>
    </row>
    <row r="22" spans="1:6">
      <c r="A22" s="259"/>
      <c r="B22" s="272" t="s">
        <v>609</v>
      </c>
      <c r="C22" s="273">
        <v>8.5512284555992615</v>
      </c>
      <c r="D22" s="274"/>
      <c r="E22" s="259"/>
      <c r="F22" s="259"/>
    </row>
    <row r="23" spans="1:6" ht="14.25">
      <c r="A23" s="259" t="s">
        <v>875</v>
      </c>
      <c r="B23" s="275" t="s">
        <v>876</v>
      </c>
      <c r="C23" s="276">
        <v>12.868802772238206</v>
      </c>
      <c r="D23" s="263"/>
      <c r="E23" s="259"/>
      <c r="F23" s="259"/>
    </row>
    <row r="24" spans="1:6" ht="14.25">
      <c r="A24" s="259" t="s">
        <v>878</v>
      </c>
      <c r="B24" s="275" t="s">
        <v>879</v>
      </c>
      <c r="C24" s="277">
        <v>1.4232364380587736</v>
      </c>
      <c r="D24" s="278" t="s">
        <v>882</v>
      </c>
      <c r="E24" s="259"/>
      <c r="F24" s="259"/>
    </row>
    <row r="25" spans="1:6" ht="14.25">
      <c r="A25" s="259" t="s">
        <v>878</v>
      </c>
      <c r="B25" s="275" t="s">
        <v>881</v>
      </c>
      <c r="C25" s="277">
        <v>-0.36630698052751648</v>
      </c>
      <c r="D25" s="278" t="s">
        <v>880</v>
      </c>
      <c r="E25" s="259"/>
      <c r="F25" s="259"/>
    </row>
    <row r="26" spans="1:6">
      <c r="A26" s="259"/>
      <c r="B26" s="259" t="s">
        <v>885</v>
      </c>
      <c r="C26" s="279"/>
      <c r="D26" s="267"/>
      <c r="E26" s="259"/>
      <c r="F26" s="259"/>
    </row>
    <row r="27" spans="1:6">
      <c r="A27" s="259" t="s">
        <v>886</v>
      </c>
      <c r="B27" s="272" t="s">
        <v>1491</v>
      </c>
      <c r="C27" s="280">
        <f>C22*C17^C24*C23^C25-C17/C5+C11/C10+C23/C6-C12/C10+C13</f>
        <v>2.206866156484466E-8</v>
      </c>
      <c r="D27" s="267"/>
      <c r="E27" s="259"/>
      <c r="F27" s="259"/>
    </row>
    <row r="28" spans="1:6">
      <c r="A28" s="259" t="s">
        <v>890</v>
      </c>
      <c r="B28" s="272" t="s">
        <v>1492</v>
      </c>
      <c r="C28" s="280">
        <f>C24*C22*C17^(C24-1)*C23^C25-1/C5</f>
        <v>4.21815116169455E-9</v>
      </c>
      <c r="D28" s="267"/>
      <c r="E28" s="259"/>
      <c r="F28" s="259"/>
    </row>
    <row r="29" spans="1:6">
      <c r="A29" s="259" t="s">
        <v>892</v>
      </c>
      <c r="B29" s="272" t="s">
        <v>1493</v>
      </c>
      <c r="C29" s="280">
        <f>C25*C22*C17^C24*C23^(C25-1)+1/C6</f>
        <v>-1.341078714744981E-8</v>
      </c>
      <c r="D29" s="267"/>
      <c r="E29" s="259"/>
      <c r="F29" s="259"/>
    </row>
    <row r="30" spans="1:6">
      <c r="A30" s="259" t="s">
        <v>898</v>
      </c>
      <c r="B30" s="272" t="s">
        <v>1494</v>
      </c>
      <c r="C30" s="280">
        <f>0.5*C7^2*C24*(C24-1)+0.5*C8^2*C25*(C25-1)+C9*C7*C8*C24*C25+C24*(C10-C5)+C25*(C10-C6)-C10</f>
        <v>-9.0724719403745269E-12</v>
      </c>
      <c r="D30" s="267"/>
      <c r="E30" s="259"/>
      <c r="F30" s="259"/>
    </row>
    <row r="31" spans="1:6">
      <c r="A31" s="259"/>
      <c r="B31" s="259" t="s">
        <v>902</v>
      </c>
      <c r="C31" s="281">
        <f t="array" ref="C31">SUM(ABS(C27:C30))</f>
        <v>3.9706672345929395E-8</v>
      </c>
      <c r="D31" s="282" t="s">
        <v>553</v>
      </c>
      <c r="E31" s="259"/>
      <c r="F31" s="259"/>
    </row>
    <row r="32" spans="1:6">
      <c r="B32" s="272" t="s">
        <v>949</v>
      </c>
    </row>
    <row r="33" spans="1:3">
      <c r="A33" s="272" t="str">
        <f>B27</f>
        <v>EQ 52</v>
      </c>
      <c r="B33" s="280" t="s">
        <v>1495</v>
      </c>
    </row>
    <row r="34" spans="1:3">
      <c r="A34" s="272" t="str">
        <f>B28</f>
        <v>EQ 53</v>
      </c>
      <c r="B34" s="280" t="s">
        <v>1496</v>
      </c>
    </row>
    <row r="35" spans="1:3">
      <c r="A35" s="272" t="str">
        <f>B29</f>
        <v>EQ 54</v>
      </c>
      <c r="B35" s="280" t="s">
        <v>1497</v>
      </c>
    </row>
    <row r="36" spans="1:3">
      <c r="A36" s="272" t="str">
        <f>B30</f>
        <v>EQ 55</v>
      </c>
      <c r="B36" s="293" t="s">
        <v>953</v>
      </c>
    </row>
    <row r="37" spans="1:3">
      <c r="A37" s="272" t="s">
        <v>921</v>
      </c>
      <c r="C37" s="112">
        <f>-C23+C4</f>
        <v>37.131197227761795</v>
      </c>
    </row>
    <row r="38" spans="1:3" ht="14.25">
      <c r="A38" s="272" t="s">
        <v>1486</v>
      </c>
      <c r="B38" s="388" t="s">
        <v>1498</v>
      </c>
    </row>
    <row r="39" spans="1:3" ht="14.25">
      <c r="A39" s="272" t="s">
        <v>1488</v>
      </c>
      <c r="B39" s="388" t="s">
        <v>1499</v>
      </c>
    </row>
  </sheetData>
  <printOptions horizontalCentered="1" headings="1"/>
  <pageMargins left="0.7" right="0.33" top="0.75" bottom="0.75" header="0.3" footer="0.3"/>
  <pageSetup orientation="portrait" horizontalDpi="4294967293" verticalDpi="0" r:id="rId1"/>
</worksheet>
</file>

<file path=xl/worksheets/sheet78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A14" sqref="A1:D14"/>
    </sheetView>
  </sheetViews>
  <sheetFormatPr defaultRowHeight="12.75"/>
  <cols>
    <col min="1" max="5" width="20.7109375" customWidth="1"/>
  </cols>
  <sheetData>
    <row r="1" spans="1:4">
      <c r="B1" s="250" t="s">
        <v>1453</v>
      </c>
      <c r="C1" s="250" t="s">
        <v>1454</v>
      </c>
      <c r="D1" s="250" t="s">
        <v>1455</v>
      </c>
    </row>
    <row r="2" spans="1:4">
      <c r="A2" s="35" t="s">
        <v>1456</v>
      </c>
    </row>
    <row r="3" spans="1:4">
      <c r="A3" s="35" t="s">
        <v>1457</v>
      </c>
      <c r="B3" s="385">
        <v>1500</v>
      </c>
      <c r="C3" s="385">
        <f>[14]IN_OUT!$E$22</f>
        <v>1250</v>
      </c>
      <c r="D3" s="385">
        <v>750</v>
      </c>
    </row>
    <row r="4" spans="1:4">
      <c r="A4" s="35" t="s">
        <v>1458</v>
      </c>
      <c r="B4" s="385">
        <v>2780.367890946628</v>
      </c>
      <c r="C4" s="385">
        <f>'IN OUT'!$C$22</f>
        <v>1718.2657420479586</v>
      </c>
      <c r="D4" s="385">
        <f>'IN IN MULTIPLE'!$C$22</f>
        <v>1380.6640239830922</v>
      </c>
    </row>
    <row r="5" spans="1:4">
      <c r="A5" s="35" t="s">
        <v>1459</v>
      </c>
      <c r="B5" s="385">
        <v>2781.7606059830955</v>
      </c>
      <c r="C5" s="385">
        <f>'IN OUT'!$C$23</f>
        <v>1649.1587624128756</v>
      </c>
      <c r="D5" s="385">
        <f>'IN IN MULTIPLE'!$C$23</f>
        <v>1362.140937218443</v>
      </c>
    </row>
    <row r="6" spans="1:4">
      <c r="A6" s="35" t="s">
        <v>1460</v>
      </c>
      <c r="B6" s="385">
        <v>97.04</v>
      </c>
      <c r="C6" s="385">
        <f>'IN OUT'!$C$43</f>
        <v>97.035670888009236</v>
      </c>
      <c r="D6" s="385">
        <f>'IN IN MULTIPLE'!$C$51</f>
        <v>62.197847457697904</v>
      </c>
    </row>
    <row r="7" spans="1:4">
      <c r="B7" s="4"/>
      <c r="C7" s="4"/>
      <c r="D7" s="4"/>
    </row>
    <row r="8" spans="1:4">
      <c r="A8" s="35" t="s">
        <v>1461</v>
      </c>
      <c r="B8" s="4"/>
      <c r="C8" s="4"/>
      <c r="D8" s="4"/>
    </row>
    <row r="9" spans="1:4">
      <c r="A9" s="35" t="s">
        <v>1457</v>
      </c>
      <c r="B9" s="385">
        <f>B3</f>
        <v>1500</v>
      </c>
      <c r="C9" s="385">
        <v>1250</v>
      </c>
      <c r="D9" s="385">
        <v>750</v>
      </c>
    </row>
    <row r="10" spans="1:4">
      <c r="A10" s="35" t="s">
        <v>1458</v>
      </c>
      <c r="B10" s="385">
        <v>2528.9789723615286</v>
      </c>
      <c r="C10" s="385">
        <f>'IN OUT SINGLE'!$C$14</f>
        <v>1630.8384967733155</v>
      </c>
      <c r="D10" s="385">
        <f>'IN IN SINGLE'!$C$20</f>
        <v>1284.2197678739058</v>
      </c>
    </row>
    <row r="11" spans="1:4">
      <c r="A11" s="35" t="s">
        <v>1459</v>
      </c>
      <c r="B11" s="385">
        <v>1500</v>
      </c>
      <c r="C11" s="385">
        <v>0</v>
      </c>
      <c r="D11" s="385">
        <f>'IN IN SINGLE'!$C$21</f>
        <v>750</v>
      </c>
    </row>
    <row r="12" spans="1:4">
      <c r="A12" s="35" t="s">
        <v>1460</v>
      </c>
      <c r="B12" s="385">
        <v>237.04</v>
      </c>
      <c r="C12" s="385">
        <f>'IN OUT SINGLE'!$C$26</f>
        <v>287.04347206128</v>
      </c>
      <c r="D12" s="385">
        <f>'IN IN SINGLE'!$C$37</f>
        <v>37.131197227761795</v>
      </c>
    </row>
    <row r="14" spans="1:4">
      <c r="A14" t="s">
        <v>1502</v>
      </c>
      <c r="B14" s="12">
        <f>B4/B10</f>
        <v>1.0994033249514745</v>
      </c>
      <c r="C14" s="12">
        <f t="shared" ref="C14:D14" si="0">C4/C10</f>
        <v>1.0536087696283978</v>
      </c>
      <c r="D14" s="12">
        <f t="shared" si="0"/>
        <v>1.0750994950567183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78</vt:i4>
      </vt:variant>
    </vt:vector>
  </HeadingPairs>
  <TitlesOfParts>
    <vt:vector size="78" baseType="lpstr">
      <vt:lpstr>GUIDE</vt:lpstr>
      <vt:lpstr>INTRINSIC CALL</vt:lpstr>
      <vt:lpstr>CALL OPTION</vt:lpstr>
      <vt:lpstr>BINOMIAL_CALL</vt:lpstr>
      <vt:lpstr>BINOMIAL_PUT</vt:lpstr>
      <vt:lpstr>BINOMIAL_CALL_PUT</vt:lpstr>
      <vt:lpstr>CALL_TIME</vt:lpstr>
      <vt:lpstr>CALL_VOLATILITY</vt:lpstr>
      <vt:lpstr>BLACK_SCHOLES</vt:lpstr>
      <vt:lpstr>DEFERRAL</vt:lpstr>
      <vt:lpstr>GROWTH</vt:lpstr>
      <vt:lpstr>EXCHANGE</vt:lpstr>
      <vt:lpstr>HEDGING1</vt:lpstr>
      <vt:lpstr>STRATEGY1</vt:lpstr>
      <vt:lpstr>STRATEGY2</vt:lpstr>
      <vt:lpstr>STRATEGY3</vt:lpstr>
      <vt:lpstr>STRATEGY4</vt:lpstr>
      <vt:lpstr>STRATEGY5</vt:lpstr>
      <vt:lpstr>RENOVATION</vt:lpstr>
      <vt:lpstr>RENOVATION_REQD</vt:lpstr>
      <vt:lpstr>SHARING</vt:lpstr>
      <vt:lpstr>SAMUELSON1</vt:lpstr>
      <vt:lpstr>SAMUELSON2</vt:lpstr>
      <vt:lpstr>VOLATILITY</vt:lpstr>
      <vt:lpstr>DELTA,GAMMA</vt:lpstr>
      <vt:lpstr>AMER_PERP</vt:lpstr>
      <vt:lpstr>HEDGING</vt:lpstr>
      <vt:lpstr>TOURINHO I</vt:lpstr>
      <vt:lpstr>TOURINHO THRESHOLD</vt:lpstr>
      <vt:lpstr>TOURINHO II</vt:lpstr>
      <vt:lpstr>AM_PERP_MF</vt:lpstr>
      <vt:lpstr>AM_PERP_MF_Q</vt:lpstr>
      <vt:lpstr>AM_PERP_MF_CORR</vt:lpstr>
      <vt:lpstr>AM_PERP_EXCH</vt:lpstr>
      <vt:lpstr>AM_PERP_EXCH_CORR</vt:lpstr>
      <vt:lpstr>BJERKSUND &amp; EKERN</vt:lpstr>
      <vt:lpstr>VALUE_OILFIELD</vt:lpstr>
      <vt:lpstr>EURO_COM_CALL</vt:lpstr>
      <vt:lpstr>EURO_COM_EXCH</vt:lpstr>
      <vt:lpstr>TWO STAGE SOLVER</vt:lpstr>
      <vt:lpstr>TWO STAGE MATRIX</vt:lpstr>
      <vt:lpstr>3 STAGE SEQ</vt:lpstr>
      <vt:lpstr>MARSHALL_INVEST</vt:lpstr>
      <vt:lpstr>MARSHALL_SENSE</vt:lpstr>
      <vt:lpstr>ENTRY-EXIT v NPV</vt:lpstr>
      <vt:lpstr>STOC_INVEST</vt:lpstr>
      <vt:lpstr>STOC_ENTRY_EXIT</vt:lpstr>
      <vt:lpstr>ENTRY_EXIT_VOL</vt:lpstr>
      <vt:lpstr>MULTIPLE_SCALE</vt:lpstr>
      <vt:lpstr>DUO_PROFITS1</vt:lpstr>
      <vt:lpstr>DUO_PROFITS2_K</vt:lpstr>
      <vt:lpstr>DUO_PROFITS2_VOL</vt:lpstr>
      <vt:lpstr>P_Q RIVALRY</vt:lpstr>
      <vt:lpstr>P_Q RIVALRY_Q</vt:lpstr>
      <vt:lpstr>R_K RIVALRY</vt:lpstr>
      <vt:lpstr>ODE PROOF</vt:lpstr>
      <vt:lpstr>V DELTA</vt:lpstr>
      <vt:lpstr>BASE CASE DEBT</vt:lpstr>
      <vt:lpstr>STRATEGY a</vt:lpstr>
      <vt:lpstr>FairStrategy</vt:lpstr>
      <vt:lpstr>SIMPLE STRATEGY</vt:lpstr>
      <vt:lpstr>RENEWAL DETERMINISTIC</vt:lpstr>
      <vt:lpstr>P&amp;C STOCHASTIC</vt:lpstr>
      <vt:lpstr>P STOCHASTIC</vt:lpstr>
      <vt:lpstr>C STOCHASTIC</vt:lpstr>
      <vt:lpstr>SINGLE RENEWAL</vt:lpstr>
      <vt:lpstr>ABANDON</vt:lpstr>
      <vt:lpstr>TECH PROGRESS</vt:lpstr>
      <vt:lpstr>OUTPUT</vt:lpstr>
      <vt:lpstr>OUT VOLATILITY</vt:lpstr>
      <vt:lpstr>OUT SINGLE</vt:lpstr>
      <vt:lpstr>IN OUT</vt:lpstr>
      <vt:lpstr>IN OUT VOLATILITY</vt:lpstr>
      <vt:lpstr>IN OUT SINGLE</vt:lpstr>
      <vt:lpstr>IN IN MULTIPLE</vt:lpstr>
      <vt:lpstr>IN IN VOLATILITY</vt:lpstr>
      <vt:lpstr>IN IN SINGLE</vt:lpstr>
      <vt:lpstr>COMPARISONS</vt:lpstr>
    </vt:vector>
  </TitlesOfParts>
  <Company>Manchester Business 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Paxson</dc:creator>
  <cp:lastModifiedBy>Windows User</cp:lastModifiedBy>
  <cp:lastPrinted>2014-02-24T20:28:02Z</cp:lastPrinted>
  <dcterms:created xsi:type="dcterms:W3CDTF">1998-12-09T15:08:54Z</dcterms:created>
  <dcterms:modified xsi:type="dcterms:W3CDTF">2014-02-24T20:44:36Z</dcterms:modified>
</cp:coreProperties>
</file>